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defaultThemeVersion="153222"/>
  <mc:AlternateContent xmlns:mc="http://schemas.openxmlformats.org/markup-compatibility/2006">
    <mc:Choice Requires="x15">
      <x15ac:absPath xmlns:x15ac="http://schemas.microsoft.com/office/spreadsheetml/2010/11/ac" url="Z:\LIVROS\ExcelEG\Release4\"/>
    </mc:Choice>
  </mc:AlternateContent>
  <bookViews>
    <workbookView xWindow="0" yWindow="0" windowWidth="20490" windowHeight="7155"/>
  </bookViews>
  <sheets>
    <sheet name="Empregados" sheetId="8" r:id="rId1"/>
    <sheet name="Produtos" sheetId="9" r:id="rId2"/>
    <sheet name="Vendas" sheetId="11" r:id="rId3"/>
    <sheet name="Graf Resultados" sheetId="12" r:id="rId4"/>
    <sheet name="Funções" sheetId="13" r:id="rId5"/>
    <sheet name="Ordenados" sheetId="14" r:id="rId6"/>
    <sheet name="Distribuições" sheetId="15" r:id="rId7"/>
    <sheet name="Testes" sheetId="16" r:id="rId8"/>
    <sheet name="Anova" sheetId="18" r:id="rId9"/>
    <sheet name="Relatório de Resposta 1" sheetId="22" r:id="rId10"/>
    <sheet name="Matemática" sheetId="21" r:id="rId11"/>
    <sheet name="JurosRendas" sheetId="24" r:id="rId12"/>
    <sheet name="Simulação" sheetId="25" r:id="rId13"/>
    <sheet name="Cenários" sheetId="26" r:id="rId14"/>
    <sheet name="Sumário do cenário" sheetId="27" r:id="rId15"/>
    <sheet name="Bal13" sheetId="28" r:id="rId16"/>
    <sheet name="Bal14" sheetId="29" r:id="rId17"/>
    <sheet name="Bal15" sheetId="30" r:id="rId18"/>
    <sheet name="Contas" sheetId="31" r:id="rId19"/>
    <sheet name="Amortizações" sheetId="32" r:id="rId20"/>
    <sheet name="Investimentos" sheetId="33" r:id="rId21"/>
    <sheet name="Títulos" sheetId="34" r:id="rId22"/>
  </sheets>
  <definedNames>
    <definedName name="_xlnm._FilterDatabase" localSheetId="0" hidden="1">Empregados!$A$1:$M$11</definedName>
    <definedName name="_xlnm.Print_Area" localSheetId="0">Empregados!$A$1:$C$11</definedName>
    <definedName name="_xlnm.Criteria" localSheetId="0">Empregados!$F$17:$H$18</definedName>
    <definedName name="_xlnm.Extract" localSheetId="0">Empregados!#REF!</definedName>
    <definedName name="solver_adj" localSheetId="10" hidden="1">Matemática!$H$21:$H$22</definedName>
    <definedName name="solver_cvg" localSheetId="10" hidden="1">0.0001</definedName>
    <definedName name="solver_drv" localSheetId="10" hidden="1">1</definedName>
    <definedName name="solver_eng" localSheetId="10" hidden="1">1</definedName>
    <definedName name="solver_est" localSheetId="10" hidden="1">1</definedName>
    <definedName name="solver_itr" localSheetId="10" hidden="1">2147483647</definedName>
    <definedName name="solver_lhs1" localSheetId="10" hidden="1">Matemática!$H$21</definedName>
    <definedName name="solver_lhs2" localSheetId="10" hidden="1">Matemática!$H$21</definedName>
    <definedName name="solver_lhs3" localSheetId="10" hidden="1">Matemática!$H$22</definedName>
    <definedName name="solver_lhs4" localSheetId="10" hidden="1">Matemática!$E$22</definedName>
    <definedName name="solver_lhs5" localSheetId="10" hidden="1">Matemática!$E$22</definedName>
    <definedName name="solver_mip" localSheetId="10" hidden="1">2147483647</definedName>
    <definedName name="solver_mni" localSheetId="10" hidden="1">30</definedName>
    <definedName name="solver_mrt" localSheetId="10" hidden="1">0.075</definedName>
    <definedName name="solver_msl" localSheetId="10" hidden="1">2</definedName>
    <definedName name="solver_neg" localSheetId="10" hidden="1">1</definedName>
    <definedName name="solver_nod" localSheetId="10" hidden="1">2147483647</definedName>
    <definedName name="solver_num" localSheetId="10" hidden="1">3</definedName>
    <definedName name="solver_nwt" localSheetId="10" hidden="1">1</definedName>
    <definedName name="solver_opt" localSheetId="10" hidden="1">Matemática!$H$23</definedName>
    <definedName name="solver_pre" localSheetId="10" hidden="1">0.000001</definedName>
    <definedName name="solver_rbv" localSheetId="10" hidden="1">1</definedName>
    <definedName name="solver_rel1" localSheetId="10" hidden="1">1</definedName>
    <definedName name="solver_rel2" localSheetId="10" hidden="1">3</definedName>
    <definedName name="solver_rel3" localSheetId="10" hidden="1">3</definedName>
    <definedName name="solver_rel4" localSheetId="10" hidden="1">4</definedName>
    <definedName name="solver_rel5" localSheetId="10" hidden="1">4</definedName>
    <definedName name="solver_rhs1" localSheetId="10" hidden="1">1250000</definedName>
    <definedName name="solver_rhs2" localSheetId="10" hidden="1">0</definedName>
    <definedName name="solver_rhs3" localSheetId="10" hidden="1">375000</definedName>
    <definedName name="solver_rhs4" localSheetId="10" hidden="1">número inteiro</definedName>
    <definedName name="solver_rhs5" localSheetId="10" hidden="1">número inteiro</definedName>
    <definedName name="solver_rlx" localSheetId="10" hidden="1">2</definedName>
    <definedName name="solver_rsd" localSheetId="10" hidden="1">0</definedName>
    <definedName name="solver_scl" localSheetId="10" hidden="1">1</definedName>
    <definedName name="solver_sho" localSheetId="10" hidden="1">2</definedName>
    <definedName name="solver_ssz" localSheetId="10" hidden="1">100</definedName>
    <definedName name="solver_tim" localSheetId="10" hidden="1">2147483647</definedName>
    <definedName name="solver_tol" localSheetId="10" hidden="1">0.01</definedName>
    <definedName name="solver_typ" localSheetId="10" hidden="1">1</definedName>
    <definedName name="solver_val" localSheetId="10" hidden="1">0</definedName>
    <definedName name="solver_ver" localSheetId="10" hidden="1">3</definedName>
    <definedName name="_xlnm.Print_Titles" localSheetId="0">Empregados!$1:$1</definedName>
    <definedName name="Valor_do_Stock">Produtos!$E$12</definedName>
    <definedName name="x_1">Matemática!$A$22</definedName>
    <definedName name="x_2">Matemática!$A$23</definedName>
    <definedName name="z">Matemática!$A$21</definedName>
  </definedNames>
  <calcPr calcId="152511"/>
  <pivotCaches>
    <pivotCache cacheId="0" r:id="rId2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5" l="1"/>
  <c r="B34" i="34" l="1"/>
  <c r="B33" i="34"/>
  <c r="B30" i="34"/>
  <c r="B31" i="34" s="1"/>
  <c r="B23" i="34"/>
  <c r="B24" i="34"/>
  <c r="B21" i="34"/>
  <c r="B9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B18" i="34"/>
  <c r="C18" i="34"/>
  <c r="B46" i="33"/>
  <c r="B45" i="33"/>
  <c r="B40" i="33"/>
  <c r="B39" i="33"/>
  <c r="B24" i="32"/>
  <c r="B25" i="32"/>
  <c r="B26" i="32"/>
  <c r="B27" i="32"/>
  <c r="B28" i="32"/>
  <c r="B13" i="32"/>
  <c r="B21" i="32" s="1"/>
  <c r="B14" i="32"/>
  <c r="B15" i="32"/>
  <c r="B16" i="32"/>
  <c r="B17" i="32"/>
  <c r="B18" i="32"/>
  <c r="B19" i="32"/>
  <c r="B20" i="32"/>
  <c r="B4" i="32"/>
  <c r="B5" i="26"/>
  <c r="B6" i="26" s="1"/>
  <c r="B19" i="34" l="1"/>
  <c r="C19" i="34"/>
  <c r="A18" i="25"/>
  <c r="F5" i="25"/>
  <c r="A14" i="25"/>
  <c r="A15" i="25" s="1"/>
  <c r="B5" i="25"/>
  <c r="C5" i="25" s="1"/>
  <c r="D110" i="24"/>
  <c r="D111" i="24" s="1"/>
  <c r="D112" i="24" s="1"/>
  <c r="D113" i="24" s="1"/>
  <c r="D114" i="24" s="1"/>
  <c r="D115" i="24" s="1"/>
  <c r="D109" i="24"/>
  <c r="B115" i="24"/>
  <c r="B114" i="24"/>
  <c r="B113" i="24"/>
  <c r="B112" i="24"/>
  <c r="B111" i="24"/>
  <c r="B110" i="24"/>
  <c r="B109" i="24"/>
  <c r="C115" i="24"/>
  <c r="C114" i="24"/>
  <c r="C113" i="24"/>
  <c r="C112" i="24"/>
  <c r="C111" i="24"/>
  <c r="C110" i="24"/>
  <c r="C109" i="24"/>
  <c r="D108" i="24"/>
  <c r="C108" i="24"/>
  <c r="B108" i="24"/>
  <c r="B105" i="24"/>
  <c r="B92" i="24"/>
  <c r="H86" i="24"/>
  <c r="H87" i="24"/>
  <c r="H88" i="24"/>
  <c r="H89" i="24"/>
  <c r="H90" i="24"/>
  <c r="H91" i="24"/>
  <c r="H92" i="24"/>
  <c r="H93" i="24"/>
  <c r="H94" i="24"/>
  <c r="H95" i="24"/>
  <c r="B86" i="24"/>
  <c r="E87" i="24"/>
  <c r="F87" i="24"/>
  <c r="G87" i="24"/>
  <c r="E88" i="24"/>
  <c r="F88" i="24"/>
  <c r="F89" i="24"/>
  <c r="F90" i="24" s="1"/>
  <c r="F91" i="24" s="1"/>
  <c r="F92" i="24" s="1"/>
  <c r="F93" i="24" s="1"/>
  <c r="F94" i="24" s="1"/>
  <c r="F95" i="24" s="1"/>
  <c r="B85" i="24"/>
  <c r="B78" i="24"/>
  <c r="B79" i="24"/>
  <c r="B76" i="24"/>
  <c r="B69" i="24"/>
  <c r="B61" i="24"/>
  <c r="B59" i="24"/>
  <c r="B57" i="24"/>
  <c r="B55" i="24"/>
  <c r="B53" i="24"/>
  <c r="B51" i="24"/>
  <c r="B49" i="24"/>
  <c r="B42" i="24"/>
  <c r="B35" i="24"/>
  <c r="B23" i="24"/>
  <c r="C23" i="24"/>
  <c r="C27" i="24" s="1"/>
  <c r="B25" i="24"/>
  <c r="C25" i="24"/>
  <c r="B27" i="24"/>
  <c r="B18" i="24"/>
  <c r="B14" i="24"/>
  <c r="B16" i="24" s="1"/>
  <c r="B15" i="24"/>
  <c r="B17" i="24"/>
  <c r="E10" i="24"/>
  <c r="B6" i="24"/>
  <c r="B9" i="24" s="1"/>
  <c r="B7" i="24"/>
  <c r="B8" i="24"/>
  <c r="H23" i="21"/>
  <c r="D27" i="21"/>
  <c r="D26" i="21"/>
  <c r="D25" i="21"/>
  <c r="E23" i="21"/>
  <c r="B25" i="21"/>
  <c r="B24" i="21"/>
  <c r="A23" i="21"/>
  <c r="A19" i="21"/>
  <c r="A16" i="21"/>
  <c r="A14" i="21"/>
  <c r="B9" i="21" a="1"/>
  <c r="B9" i="21" s="1"/>
  <c r="C6" i="21"/>
  <c r="F2" i="21" a="1"/>
  <c r="F2" i="21" s="1"/>
  <c r="F4" i="21"/>
  <c r="C106" i="13"/>
  <c r="C103" i="13"/>
  <c r="C101" i="13"/>
  <c r="C98" i="13"/>
  <c r="C99" i="13"/>
  <c r="C96" i="13"/>
  <c r="C97" i="13"/>
  <c r="C95" i="13"/>
  <c r="C93" i="13"/>
  <c r="C94" i="13"/>
  <c r="C90" i="13"/>
  <c r="C88" i="13"/>
  <c r="C89" i="13"/>
  <c r="C86" i="13"/>
  <c r="C87" i="13"/>
  <c r="C84" i="13"/>
  <c r="C85" i="13"/>
  <c r="C83" i="13"/>
  <c r="C82" i="13"/>
  <c r="B81" i="13"/>
  <c r="C81" i="13"/>
  <c r="C78" i="13"/>
  <c r="C77" i="13"/>
  <c r="C73" i="13"/>
  <c r="F72" i="13"/>
  <c r="C72" i="13"/>
  <c r="C71" i="13"/>
  <c r="C70" i="13"/>
  <c r="C69" i="13"/>
  <c r="C68" i="13"/>
  <c r="C67" i="13"/>
  <c r="B65" i="13"/>
  <c r="C56" i="13"/>
  <c r="C55" i="13"/>
  <c r="C54" i="13"/>
  <c r="B46" i="13"/>
  <c r="B45" i="13"/>
  <c r="A184" i="11"/>
  <c r="A185" i="1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83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B95" i="11"/>
  <c r="C99" i="11"/>
  <c r="B98" i="11"/>
  <c r="B27" i="16"/>
  <c r="D25" i="16"/>
  <c r="C25" i="16"/>
  <c r="B25" i="16"/>
  <c r="D24" i="16"/>
  <c r="C24" i="16"/>
  <c r="B24" i="16"/>
  <c r="D23" i="16"/>
  <c r="C23" i="16"/>
  <c r="B23" i="16"/>
  <c r="B46" i="15"/>
  <c r="B42" i="15"/>
  <c r="B38" i="15"/>
  <c r="B34" i="15"/>
  <c r="B31" i="15"/>
  <c r="B27" i="15"/>
  <c r="B28" i="15" s="1"/>
  <c r="B26" i="15"/>
  <c r="B21" i="15"/>
  <c r="B19" i="15"/>
  <c r="B15" i="15"/>
  <c r="B10" i="15"/>
  <c r="B7" i="15"/>
  <c r="B4" i="15"/>
  <c r="B5" i="15" s="1"/>
  <c r="B90" i="24" l="1"/>
  <c r="G88" i="24"/>
  <c r="G86" i="24"/>
  <c r="E89" i="24"/>
  <c r="B83" i="24"/>
  <c r="C11" i="21"/>
  <c r="B10" i="21"/>
  <c r="D10" i="21"/>
  <c r="C9" i="21"/>
  <c r="B11" i="21"/>
  <c r="D9" i="21"/>
  <c r="D11" i="21"/>
  <c r="C10" i="21"/>
  <c r="F3" i="21"/>
  <c r="B77" i="11"/>
  <c r="B76" i="11"/>
  <c r="B75" i="11"/>
  <c r="B74" i="11"/>
  <c r="B73" i="11"/>
  <c r="B69" i="11"/>
  <c r="B70" i="11"/>
  <c r="B71" i="11"/>
  <c r="B72" i="11"/>
  <c r="C65" i="11" a="1"/>
  <c r="C65" i="11" s="1"/>
  <c r="G89" i="24" l="1"/>
  <c r="E90" i="24"/>
  <c r="C68" i="11"/>
  <c r="C67" i="11"/>
  <c r="C66" i="11"/>
  <c r="B55" i="11"/>
  <c r="B56" i="11"/>
  <c r="B57" i="11"/>
  <c r="B58" i="11"/>
  <c r="B59" i="11"/>
  <c r="B60" i="11"/>
  <c r="B61" i="11"/>
  <c r="B62" i="11"/>
  <c r="B47" i="11"/>
  <c r="B48" i="11"/>
  <c r="B49" i="11"/>
  <c r="B50" i="11"/>
  <c r="B63" i="11" s="1"/>
  <c r="B52" i="11"/>
  <c r="B53" i="11"/>
  <c r="B42" i="11"/>
  <c r="B51" i="11" s="1"/>
  <c r="B43" i="11"/>
  <c r="B44" i="11"/>
  <c r="B45" i="11"/>
  <c r="B46" i="11"/>
  <c r="G90" i="24" l="1"/>
  <c r="E91" i="24"/>
  <c r="C21" i="11"/>
  <c r="D6" i="11" s="1"/>
  <c r="D11" i="14"/>
  <c r="D10" i="14"/>
  <c r="D7" i="14"/>
  <c r="D6" i="14"/>
  <c r="D4" i="14"/>
  <c r="L31" i="13"/>
  <c r="C32" i="13"/>
  <c r="C33" i="13" s="1"/>
  <c r="E26" i="13"/>
  <c r="L3" i="8"/>
  <c r="L4" i="8"/>
  <c r="L5" i="8"/>
  <c r="L6" i="8"/>
  <c r="L7" i="8"/>
  <c r="L8" i="8"/>
  <c r="L9" i="8"/>
  <c r="L10" i="8"/>
  <c r="L11" i="8"/>
  <c r="L2" i="8"/>
  <c r="J3" i="8"/>
  <c r="M3" i="8" s="1"/>
  <c r="K3" i="8"/>
  <c r="J4" i="8"/>
  <c r="M4" i="8" s="1"/>
  <c r="K4" i="8"/>
  <c r="J5" i="8"/>
  <c r="M5" i="8" s="1"/>
  <c r="K5" i="8"/>
  <c r="J6" i="8"/>
  <c r="M6" i="8" s="1"/>
  <c r="K6" i="8"/>
  <c r="J7" i="8"/>
  <c r="M7" i="8" s="1"/>
  <c r="K7" i="8"/>
  <c r="J8" i="8"/>
  <c r="M8" i="8" s="1"/>
  <c r="K8" i="8"/>
  <c r="J9" i="8"/>
  <c r="M9" i="8" s="1"/>
  <c r="K9" i="8"/>
  <c r="J10" i="8"/>
  <c r="M10" i="8" s="1"/>
  <c r="K10" i="8"/>
  <c r="J11" i="8"/>
  <c r="M11" i="8" s="1"/>
  <c r="K11" i="8"/>
  <c r="K2" i="8"/>
  <c r="J2" i="8"/>
  <c r="M2" i="8" s="1"/>
  <c r="A13" i="13"/>
  <c r="A12" i="13"/>
  <c r="A11" i="13"/>
  <c r="A9" i="13"/>
  <c r="A8" i="13"/>
  <c r="A6" i="13"/>
  <c r="A4" i="13"/>
  <c r="D12" i="9"/>
  <c r="M13" i="8" l="1"/>
  <c r="E92" i="24"/>
  <c r="G91" i="24"/>
  <c r="M15" i="8"/>
  <c r="M16" i="8"/>
  <c r="D17" i="11"/>
  <c r="D9" i="11"/>
  <c r="D5" i="11"/>
  <c r="D16" i="11"/>
  <c r="D12" i="11"/>
  <c r="D8" i="11"/>
  <c r="D13" i="11"/>
  <c r="D19" i="11"/>
  <c r="D15" i="11"/>
  <c r="D11" i="11"/>
  <c r="D7" i="11"/>
  <c r="D18" i="11"/>
  <c r="D14" i="11"/>
  <c r="D10" i="11"/>
  <c r="N5" i="8"/>
  <c r="N3" i="8"/>
  <c r="O7" i="8"/>
  <c r="O4" i="8"/>
  <c r="O11" i="8"/>
  <c r="O10" i="8"/>
  <c r="O9" i="8"/>
  <c r="O8" i="8"/>
  <c r="O6" i="8"/>
  <c r="O5" i="8"/>
  <c r="N2" i="8"/>
  <c r="N8" i="8"/>
  <c r="N6" i="8"/>
  <c r="N10" i="8"/>
  <c r="N7" i="8"/>
  <c r="N9" i="8"/>
  <c r="N11" i="8"/>
  <c r="N4" i="8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5" i="11"/>
  <c r="E93" i="24" l="1"/>
  <c r="G92" i="24"/>
  <c r="B101" i="11"/>
  <c r="E7" i="9"/>
  <c r="E8" i="9"/>
  <c r="E9" i="9"/>
  <c r="E10" i="9"/>
  <c r="G93" i="24" l="1"/>
  <c r="E94" i="24"/>
  <c r="E1" i="9"/>
  <c r="E6" i="9"/>
  <c r="E5" i="9"/>
  <c r="E4" i="9"/>
  <c r="E12" i="9" s="1"/>
  <c r="G94" i="24" l="1"/>
  <c r="E95" i="24"/>
  <c r="G95" i="24" s="1"/>
</calcChain>
</file>

<file path=xl/sharedStrings.xml><?xml version="1.0" encoding="utf-8"?>
<sst xmlns="http://schemas.openxmlformats.org/spreadsheetml/2006/main" count="866" uniqueCount="534">
  <si>
    <t>N.º DE EMPREGADO</t>
  </si>
  <si>
    <t>RUA</t>
  </si>
  <si>
    <t>LOCALIDADE</t>
  </si>
  <si>
    <t>CÓDIGO POSTAL</t>
  </si>
  <si>
    <t>N.º DE CONTRIBUINTE</t>
  </si>
  <si>
    <t>TELEFONE</t>
  </si>
  <si>
    <t>DATA DE ADMISSÃO</t>
  </si>
  <si>
    <t>NASCIMENTO</t>
  </si>
  <si>
    <t>Av. Costa Cabral, Nº 12 1º Dto</t>
  </si>
  <si>
    <t>Rua Dr. Óscar Ferreira, Lote 12 4º E</t>
  </si>
  <si>
    <t>Sete Rios</t>
  </si>
  <si>
    <t>1600 LISBOA</t>
  </si>
  <si>
    <t>NOME DO EMPREGADO</t>
  </si>
  <si>
    <t>PRODUTOS COMERCIALIZADOS</t>
  </si>
  <si>
    <t>CÓDIGO</t>
  </si>
  <si>
    <t>DESIGNAÇÃO</t>
  </si>
  <si>
    <t>CUSTO MÉDIO (em euros)</t>
  </si>
  <si>
    <t>STOCK</t>
  </si>
  <si>
    <t>VALOR DO STOCK</t>
  </si>
  <si>
    <t>Parka verde E-5001</t>
  </si>
  <si>
    <t>Parka azul E-5003</t>
  </si>
  <si>
    <t>Parka roxa E-5005</t>
  </si>
  <si>
    <t>TOTAL</t>
  </si>
  <si>
    <t>Rua Semedo Silva, Nº 5</t>
  </si>
  <si>
    <t>Odivelas</t>
  </si>
  <si>
    <t>Av. Cardoso Filipe, Nº7</t>
  </si>
  <si>
    <t>Lisboa</t>
  </si>
  <si>
    <t>Av Dr. João Sousa, Nº 156</t>
  </si>
  <si>
    <t>Rua Ângelo Actor, Nº 157</t>
  </si>
  <si>
    <t>Rua Gomes Silva, Nº 123</t>
  </si>
  <si>
    <t>Rua Frade Aparício, Nº 8</t>
  </si>
  <si>
    <t>Largo de Camões, Nº 10</t>
  </si>
  <si>
    <t>Amadora</t>
  </si>
  <si>
    <t>Av. Bino Leonel, Nº 134</t>
  </si>
  <si>
    <t>2675 ODIVELAS</t>
  </si>
  <si>
    <t>1300 LISBOA</t>
  </si>
  <si>
    <t>1100 LISBOA</t>
  </si>
  <si>
    <t>1500 LISBOA</t>
  </si>
  <si>
    <t>2700 AMADORA</t>
  </si>
  <si>
    <t>1700 LISBOA</t>
  </si>
  <si>
    <r>
      <t>Pullover</t>
    </r>
    <r>
      <rPr>
        <sz val="10"/>
        <color rgb="FF000000"/>
        <rFont val="Arial"/>
        <family val="2"/>
      </rPr>
      <t xml:space="preserve"> azul modelo E-6001</t>
    </r>
  </si>
  <si>
    <r>
      <t>Pullover</t>
    </r>
    <r>
      <rPr>
        <sz val="10"/>
        <color rgb="FF000000"/>
        <rFont val="Arial"/>
        <family val="2"/>
      </rPr>
      <t xml:space="preserve"> verde modelo E-6003</t>
    </r>
  </si>
  <si>
    <r>
      <t>Pullover</t>
    </r>
    <r>
      <rPr>
        <sz val="10"/>
        <color rgb="FF000000"/>
        <rFont val="Arial"/>
        <family val="2"/>
      </rPr>
      <t xml:space="preserve"> branco modelo E-6005</t>
    </r>
  </si>
  <si>
    <r>
      <t>Pullover</t>
    </r>
    <r>
      <rPr>
        <sz val="10"/>
        <color rgb="FF000000"/>
        <rFont val="Arial"/>
        <family val="2"/>
      </rPr>
      <t xml:space="preserve"> roxo modelo E-6007</t>
    </r>
  </si>
  <si>
    <t>VENDAS DA EMPRESA EXPORTEX</t>
  </si>
  <si>
    <t>UNIDADE: Euros</t>
  </si>
  <si>
    <t>ANO</t>
  </si>
  <si>
    <t>VENDAS</t>
  </si>
  <si>
    <t>ANOS</t>
  </si>
  <si>
    <t>RESULTADOS</t>
  </si>
  <si>
    <t>ANOS DE EMPRESA</t>
  </si>
  <si>
    <t>IDADE</t>
  </si>
  <si>
    <t>IDADE DE ENTRADA</t>
  </si>
  <si>
    <t>LUÍS FILIPE SOUSA</t>
  </si>
  <si>
    <t>MARIA JOAQUINA FERRAGUDO</t>
  </si>
  <si>
    <t>ANTÓNIO SOUSA PENEDA</t>
  </si>
  <si>
    <t>MARIA ANGELINA TOMÁS</t>
  </si>
  <si>
    <t>ANSELMO PEREIRA DA SILVA</t>
  </si>
  <si>
    <t>LUISA PIRES SOUSA</t>
  </si>
  <si>
    <t>ANTÓNIO FONSECA E SILVA</t>
  </si>
  <si>
    <t>INÊS CARMO OLIVEIRA</t>
  </si>
  <si>
    <t>DEMÉTRIO JOSÉ FILIPE</t>
  </si>
  <si>
    <t>JOSÉ MARQUES RUIZ</t>
  </si>
  <si>
    <t>PRÉMIO</t>
  </si>
  <si>
    <t>REFORMA</t>
  </si>
  <si>
    <t>COMISSÕES</t>
  </si>
  <si>
    <t>COMISSÃO</t>
  </si>
  <si>
    <t>  1%</t>
  </si>
  <si>
    <t>  2%</t>
  </si>
  <si>
    <t>3,5%</t>
  </si>
  <si>
    <t>  4%</t>
  </si>
  <si>
    <t>  5%</t>
  </si>
  <si>
    <t>5,5%</t>
  </si>
  <si>
    <t>  7%</t>
  </si>
  <si>
    <t>Vendas</t>
  </si>
  <si>
    <t>Comissão</t>
  </si>
  <si>
    <t>Em %</t>
  </si>
  <si>
    <t>Em valor</t>
  </si>
  <si>
    <t>VENDAS DO MÊS</t>
  </si>
  <si>
    <t>&gt;=20</t>
  </si>
  <si>
    <t>&lt;=60</t>
  </si>
  <si>
    <t>&gt;=43</t>
  </si>
  <si>
    <t>&lt;=63</t>
  </si>
  <si>
    <t>Média</t>
  </si>
  <si>
    <t>Erro-padrão</t>
  </si>
  <si>
    <t>Mediana</t>
  </si>
  <si>
    <t>Moda</t>
  </si>
  <si>
    <t>Desvio-padrão</t>
  </si>
  <si>
    <t>Variância da amostra</t>
  </si>
  <si>
    <t>Curtose</t>
  </si>
  <si>
    <t>Assimetria</t>
  </si>
  <si>
    <t>Intervalo</t>
  </si>
  <si>
    <t>Mínimo</t>
  </si>
  <si>
    <t>Máximo</t>
  </si>
  <si>
    <t>Soma</t>
  </si>
  <si>
    <t>Contagem</t>
  </si>
  <si>
    <t>Maior(3)</t>
  </si>
  <si>
    <t>Menor(4)</t>
  </si>
  <si>
    <t>Nível de confiança(95.0%)</t>
  </si>
  <si>
    <t>Média ARITMÉTICA</t>
  </si>
  <si>
    <t>Média GEOMÉTRICA</t>
  </si>
  <si>
    <t>Média HARMÓNICA</t>
  </si>
  <si>
    <t>Variância</t>
  </si>
  <si>
    <t>Variância corrigida</t>
  </si>
  <si>
    <t>Desvio-padrão corrigido</t>
  </si>
  <si>
    <t>Coeficiente de variação</t>
  </si>
  <si>
    <t>Soma do quadrado dos desvios</t>
  </si>
  <si>
    <t>Desvio absoluto médio</t>
  </si>
  <si>
    <t>Medida de CURTOSE</t>
  </si>
  <si>
    <t>Medida de ASSIMETRIA</t>
  </si>
  <si>
    <t>Valor MÍNIMO</t>
  </si>
  <si>
    <t>Valor MÁXIMO</t>
  </si>
  <si>
    <t>5º maior valor da série</t>
  </si>
  <si>
    <t>2º menor valor da série</t>
  </si>
  <si>
    <t>N.º de obs de valor numérico</t>
  </si>
  <si>
    <t>N.º total de observações</t>
  </si>
  <si>
    <t>Erro da estimação</t>
  </si>
  <si>
    <t>1º Quartil</t>
  </si>
  <si>
    <t>2º Quartil</t>
  </si>
  <si>
    <t>3º Quartil</t>
  </si>
  <si>
    <t>4º Quartil</t>
  </si>
  <si>
    <t>23º Percentil</t>
  </si>
  <si>
    <t>50º Percentil</t>
  </si>
  <si>
    <t>88º Percentil</t>
  </si>
  <si>
    <t>1º Decil</t>
  </si>
  <si>
    <t>3º Decil</t>
  </si>
  <si>
    <t>Limite superior das classes</t>
  </si>
  <si>
    <t>Mais</t>
  </si>
  <si>
    <t>Frequência</t>
  </si>
  <si>
    <r>
      <t>N.º de provas (</t>
    </r>
    <r>
      <rPr>
        <i/>
        <sz val="8"/>
        <color theme="1"/>
        <rFont val="Arial"/>
        <family val="2"/>
      </rPr>
      <t>n</t>
    </r>
    <r>
      <rPr>
        <sz val="8"/>
        <color theme="1"/>
        <rFont val="Arial"/>
        <family val="2"/>
      </rPr>
      <t>)</t>
    </r>
  </si>
  <si>
    <r>
      <t>Probabilidade do sucesso (</t>
    </r>
    <r>
      <rPr>
        <i/>
        <sz val="8"/>
        <color theme="1"/>
        <rFont val="Arial"/>
        <family val="2"/>
      </rPr>
      <t>p</t>
    </r>
    <r>
      <rPr>
        <sz val="8"/>
        <color theme="1"/>
        <rFont val="Arial"/>
        <family val="2"/>
      </rPr>
      <t>)</t>
    </r>
  </si>
  <si>
    <t>N.º de sucessos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</si>
  <si>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</t>
    </r>
    <r>
      <rPr>
        <sz val="8"/>
        <color theme="1"/>
        <rFont val="Symbol"/>
        <family val="1"/>
        <charset val="2"/>
      </rPr>
      <t>£</t>
    </r>
    <r>
      <rPr>
        <sz val="8"/>
        <color theme="1"/>
        <rFont val="Arial"/>
        <family val="2"/>
      </rPr>
      <t xml:space="preserve"> 2)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</si>
  <si>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&gt; 2)</t>
    </r>
  </si>
  <si>
    <t>N.º de sucessos pretendidos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</si>
  <si>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= 3)</t>
    </r>
  </si>
  <si>
    <t>N.º de peças a inspeccionar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</si>
  <si>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= 20)</t>
    </r>
  </si>
  <si>
    <t>Percentagem peças defeituosas</t>
  </si>
  <si>
    <r>
      <t>M</t>
    </r>
    <r>
      <rPr>
        <sz val="8"/>
        <color theme="1"/>
        <rFont val="Arial"/>
        <family val="2"/>
      </rPr>
      <t xml:space="preserve"> (total de peças no lote)</t>
    </r>
  </si>
  <si>
    <r>
      <t>n</t>
    </r>
    <r>
      <rPr>
        <sz val="8"/>
        <color theme="1"/>
        <rFont val="Arial"/>
        <family val="2"/>
      </rPr>
      <t xml:space="preserve"> (amostra considerada)</t>
    </r>
  </si>
  <si>
    <t>Número médio de rompimentos por dia</t>
  </si>
  <si>
    <t>N.º de rompimentos  pretendidos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</si>
  <si>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= 5)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</si>
  <si>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> &gt; 4)</t>
    </r>
  </si>
  <si>
    <t>Salário da probabilidade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</si>
  <si>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&lt; 85)</t>
    </r>
  </si>
  <si>
    <t>Normalização do valor 85</t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</si>
  <si>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Z</t>
    </r>
    <r>
      <rPr>
        <sz val="8"/>
        <color theme="1"/>
        <rFont val="Arial"/>
        <family val="2"/>
      </rPr>
      <t xml:space="preserve"> &lt; 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</rPr>
      <t>2)</t>
    </r>
  </si>
  <si>
    <t>Probabilidade acumulada</t>
  </si>
  <si>
    <r>
      <t xml:space="preserve">Valor de </t>
    </r>
    <r>
      <rPr>
        <i/>
        <sz val="8"/>
        <color theme="1"/>
        <rFont val="Arial"/>
        <family val="2"/>
      </rPr>
      <t>X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</si>
  <si>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 xml:space="preserve"> &gt; 110)</t>
    </r>
  </si>
  <si>
    <r>
      <t xml:space="preserve">Valor de </t>
    </r>
    <r>
      <rPr>
        <i/>
        <sz val="8"/>
        <color theme="1"/>
        <rFont val="Symbol"/>
        <family val="1"/>
        <charset val="2"/>
      </rPr>
      <t>l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</si>
  <si>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> &gt; 5)</t>
    </r>
  </si>
  <si>
    <r>
      <t xml:space="preserve">Valor de </t>
    </r>
    <r>
      <rPr>
        <i/>
        <sz val="8"/>
        <color theme="1"/>
        <rFont val="Arial"/>
        <family val="2"/>
      </rPr>
      <t>n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</si>
  <si>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> &lt; 5)</t>
    </r>
  </si>
  <si>
    <r>
      <t>P</t>
    </r>
    <r>
      <rPr>
        <sz val="8"/>
        <color theme="1"/>
        <rFont val="Arial"/>
        <family val="2"/>
      </rPr>
      <t> (</t>
    </r>
    <r>
      <rPr>
        <i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> &gt; 7)</t>
    </r>
  </si>
  <si>
    <r>
      <t>P</t>
    </r>
    <r>
      <rPr>
        <sz val="8"/>
        <color theme="1"/>
        <rFont val="Arial"/>
        <family val="2"/>
      </rPr>
      <t> (</t>
    </r>
    <r>
      <rPr>
        <sz val="8"/>
        <color theme="1"/>
        <rFont val="Symbol"/>
        <family val="1"/>
        <charset val="2"/>
      </rPr>
      <t>-</t>
    </r>
    <r>
      <rPr>
        <sz val="8"/>
        <color theme="1"/>
        <rFont val="Arial"/>
        <family val="2"/>
      </rPr>
      <t>7 </t>
    </r>
    <r>
      <rPr>
        <sz val="8"/>
        <color theme="1"/>
        <rFont val="Symbol"/>
        <family val="1"/>
        <charset val="2"/>
      </rPr>
      <t>£</t>
    </r>
    <r>
      <rPr>
        <sz val="8"/>
        <color theme="1"/>
        <rFont val="Arial"/>
        <family val="2"/>
      </rPr>
      <t> X </t>
    </r>
    <r>
      <rPr>
        <sz val="8"/>
        <color theme="1"/>
        <rFont val="Symbol"/>
        <family val="1"/>
        <charset val="2"/>
      </rPr>
      <t>£</t>
    </r>
    <r>
      <rPr>
        <sz val="8"/>
        <color theme="1"/>
        <rFont val="Arial"/>
        <family val="2"/>
      </rPr>
      <t> 7)</t>
    </r>
  </si>
  <si>
    <t>Trabalhador</t>
  </si>
  <si>
    <t>Salário 2000</t>
  </si>
  <si>
    <t>Salário 2016</t>
  </si>
  <si>
    <t> 1</t>
  </si>
  <si>
    <t> 2</t>
  </si>
  <si>
    <t> 3</t>
  </si>
  <si>
    <t> 4</t>
  </si>
  <si>
    <t> 5</t>
  </si>
  <si>
    <t> 6</t>
  </si>
  <si>
    <t> 7</t>
  </si>
  <si>
    <t> 8</t>
  </si>
  <si>
    <t> 9</t>
  </si>
  <si>
    <t>Teste T: duas amostras emparelhadas para médias</t>
  </si>
  <si>
    <t>Observações</t>
  </si>
  <si>
    <t xml:space="preserve">Correlação de Pearson </t>
  </si>
  <si>
    <t>Hipótese de diferença de média</t>
  </si>
  <si>
    <t>gl</t>
  </si>
  <si>
    <t>Stat t</t>
  </si>
  <si>
    <t>P(T&lt;=t) uni-caudal</t>
  </si>
  <si>
    <t>t crítico uni-caudal</t>
  </si>
  <si>
    <t>P(T&lt;=t) bi-caudal</t>
  </si>
  <si>
    <t>t crítico bi-caudal</t>
  </si>
  <si>
    <t>F</t>
  </si>
  <si>
    <t>Aveiro</t>
  </si>
  <si>
    <t>C Branco</t>
  </si>
  <si>
    <t>Setúbal</t>
  </si>
  <si>
    <t>Anova: factor único</t>
  </si>
  <si>
    <t>SUMÁRIO</t>
  </si>
  <si>
    <t>Grupos</t>
  </si>
  <si>
    <t>ANOVA</t>
  </si>
  <si>
    <t>Fonte de variação</t>
  </si>
  <si>
    <t>SQ</t>
  </si>
  <si>
    <t>MQ</t>
  </si>
  <si>
    <t>valor P</t>
  </si>
  <si>
    <t>F crítico</t>
  </si>
  <si>
    <t>Entre grupos</t>
  </si>
  <si>
    <t>Dentro de grupos</t>
  </si>
  <si>
    <t>Total</t>
  </si>
  <si>
    <t>Máquina 1</t>
  </si>
  <si>
    <t>Máquina 2</t>
  </si>
  <si>
    <t>Máquina 3</t>
  </si>
  <si>
    <t>Anova: factor duplo sem repetição</t>
  </si>
  <si>
    <t>Linhas</t>
  </si>
  <si>
    <t>Colunas</t>
  </si>
  <si>
    <t>Erro</t>
  </si>
  <si>
    <t>Básico</t>
  </si>
  <si>
    <t>Secundário</t>
  </si>
  <si>
    <t>Superior</t>
  </si>
  <si>
    <t>Anova: factor duplo com repetição</t>
  </si>
  <si>
    <t>Amostra</t>
  </si>
  <si>
    <t>Interacções</t>
  </si>
  <si>
    <t>Dentro</t>
  </si>
  <si>
    <t>Baixo</t>
  </si>
  <si>
    <t>Médio</t>
  </si>
  <si>
    <t>Alto</t>
  </si>
  <si>
    <t>Probabilidade associada ao valor do teste</t>
  </si>
  <si>
    <t>Covariância</t>
  </si>
  <si>
    <t>Coeficiente de correlação linear</t>
  </si>
  <si>
    <t>SUMÁRIO DOS RESULTADOS</t>
  </si>
  <si>
    <t>Estatística de regressão</t>
  </si>
  <si>
    <t>R múltiplo</t>
  </si>
  <si>
    <t>Quadrado de R</t>
  </si>
  <si>
    <t>Quadrado de R ajustado</t>
  </si>
  <si>
    <t>Regressão</t>
  </si>
  <si>
    <t>Residual</t>
  </si>
  <si>
    <t>Interceptar</t>
  </si>
  <si>
    <t>F de significância</t>
  </si>
  <si>
    <t>Coeficientes</t>
  </si>
  <si>
    <t>95% inferior</t>
  </si>
  <si>
    <t>95% superior</t>
  </si>
  <si>
    <t>Inferior 95.0%</t>
  </si>
  <si>
    <t>Superior 95.0%</t>
  </si>
  <si>
    <t>Variável X 1</t>
  </si>
  <si>
    <t>CUSTOS</t>
  </si>
  <si>
    <t>Variável X 2</t>
  </si>
  <si>
    <t>#N/D</t>
  </si>
  <si>
    <t>Funcionários da cidade de Lisboa</t>
  </si>
  <si>
    <t>Prémios dos funcionários mais recentes</t>
  </si>
  <si>
    <t>Código do produto</t>
  </si>
  <si>
    <t>Quantidade</t>
  </si>
  <si>
    <t>Preço unitário</t>
  </si>
  <si>
    <t>Soma de quadrados</t>
  </si>
  <si>
    <t>n</t>
  </si>
  <si>
    <t>x</t>
  </si>
  <si>
    <t>m</t>
  </si>
  <si>
    <t>Soma da série</t>
  </si>
  <si>
    <t>Fórmula</t>
  </si>
  <si>
    <t>Valor absoluto</t>
  </si>
  <si>
    <t>Raíz quadrada</t>
  </si>
  <si>
    <t>Exponencial</t>
  </si>
  <si>
    <t>Factorial</t>
  </si>
  <si>
    <r>
      <t>Factorial duplo (</t>
    </r>
    <r>
      <rPr>
        <i/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par)</t>
    </r>
  </si>
  <si>
    <r>
      <t>Factorial duplo (</t>
    </r>
    <r>
      <rPr>
        <i/>
        <sz val="8"/>
        <color rgb="FF000000"/>
        <rFont val="Arial"/>
        <family val="2"/>
      </rPr>
      <t>n</t>
    </r>
    <r>
      <rPr>
        <sz val="8"/>
        <color rgb="FF000000"/>
        <rFont val="Arial"/>
        <family val="2"/>
      </rPr>
      <t xml:space="preserve"> ímpar)</t>
    </r>
  </si>
  <si>
    <t>Polinomial</t>
  </si>
  <si>
    <t xml:space="preserve">Parte inteira </t>
  </si>
  <si>
    <t>Máximo divisor comum</t>
  </si>
  <si>
    <t>Mínimo múltiplo comum</t>
  </si>
  <si>
    <t>Base</t>
  </si>
  <si>
    <t>Expoente</t>
  </si>
  <si>
    <t>PI</t>
  </si>
  <si>
    <t>Uma casa decimal</t>
  </si>
  <si>
    <t>Múltiplo mais próximo de 4</t>
  </si>
  <si>
    <t xml:space="preserve">Inteiro par mais próximo </t>
  </si>
  <si>
    <t>Inteiro ímpar mais próximo</t>
  </si>
  <si>
    <t>Produto dos números</t>
  </si>
  <si>
    <t>Dividendo</t>
  </si>
  <si>
    <t>Divisor</t>
  </si>
  <si>
    <t>Quociente</t>
  </si>
  <si>
    <t>Resto</t>
  </si>
  <si>
    <t>Valor 133 em numeração romana</t>
  </si>
  <si>
    <t>Número aleatório entre 0 e 1</t>
  </si>
  <si>
    <t>Número aleatório entre 10 e 20</t>
  </si>
  <si>
    <t>Número de células vazias</t>
  </si>
  <si>
    <t>Número de células com valor &lt;50</t>
  </si>
  <si>
    <t>Números do totoloto</t>
  </si>
  <si>
    <t>Número de combinações</t>
  </si>
  <si>
    <t>Extracção de 6 números</t>
  </si>
  <si>
    <t>Número de letras</t>
  </si>
  <si>
    <t>Número de permutações</t>
  </si>
  <si>
    <t>Pares de letras</t>
  </si>
  <si>
    <t>Graus</t>
  </si>
  <si>
    <t>Radianos</t>
  </si>
  <si>
    <t>Modelo 5001</t>
  </si>
  <si>
    <t>Modelo 5003</t>
  </si>
  <si>
    <t>Modelo 5005</t>
  </si>
  <si>
    <t>Cliente 1</t>
  </si>
  <si>
    <t>Cliente 2</t>
  </si>
  <si>
    <t>Cliente 3</t>
  </si>
  <si>
    <t>Preços</t>
  </si>
  <si>
    <t>Faturação</t>
  </si>
  <si>
    <t>Determinante</t>
  </si>
  <si>
    <t>Inversa</t>
  </si>
  <si>
    <t>Rest. 1</t>
  </si>
  <si>
    <t>Rest. 2</t>
  </si>
  <si>
    <t>Microsoft Excel 15.0 Relatório de Resposta</t>
  </si>
  <si>
    <t>Folha de Cálculo: [Exportex.xlsx]Matemática</t>
  </si>
  <si>
    <t>Relatório Criado: 08/09/2016 10:47:25</t>
  </si>
  <si>
    <t>Resultado: O Solver encontrou uma solução. Todas as restrições e condições de otimização foram satisfeitas.</t>
  </si>
  <si>
    <t>Motor do Solver</t>
  </si>
  <si>
    <t>Motor: GRG Não Linear</t>
  </si>
  <si>
    <t>Tempo de Solução: 0.031 Segundos.</t>
  </si>
  <si>
    <t>Iterações: 0 Subproblemas: 0</t>
  </si>
  <si>
    <t>Opções do Solver</t>
  </si>
  <si>
    <t>Tempo Máximo Ilimitado,  Iterações Ilimitado, Precision 0.000001, Utilizar Arredondamento Automático</t>
  </si>
  <si>
    <t xml:space="preserve"> Convergência 0.0001, Tamanho da População 100, Seed Aleatório 0, Derivadas Adiantadas, Exigir Limites</t>
  </si>
  <si>
    <t>Máximo de Subproblemas Ilimitado, Máximo de Soluções de Número Inteiro Ilimitado, Tolerância de Número Inteiro 1%, Assumir NãoNegativo</t>
  </si>
  <si>
    <t>Célula de Objetivo (Máximo)</t>
  </si>
  <si>
    <t>Célula</t>
  </si>
  <si>
    <t>Nome</t>
  </si>
  <si>
    <t>Valor Original</t>
  </si>
  <si>
    <t>Valor Final</t>
  </si>
  <si>
    <t>Células de Variável</t>
  </si>
  <si>
    <t>Número inteiro</t>
  </si>
  <si>
    <t>Restrições</t>
  </si>
  <si>
    <t>Valor da Célula</t>
  </si>
  <si>
    <t>Estado</t>
  </si>
  <si>
    <t>Margem</t>
  </si>
  <si>
    <t>$A$23</t>
  </si>
  <si>
    <t>$A$21</t>
  </si>
  <si>
    <t>Contin</t>
  </si>
  <si>
    <t>$A$22</t>
  </si>
  <si>
    <t>$B$24</t>
  </si>
  <si>
    <t>Rest. 1 Determinante</t>
  </si>
  <si>
    <t>$B$24&lt;=750</t>
  </si>
  <si>
    <t>Enlace</t>
  </si>
  <si>
    <t>$B$25</t>
  </si>
  <si>
    <t>Rest. 2 Determinante</t>
  </si>
  <si>
    <t>$B$25&lt;=890</t>
  </si>
  <si>
    <t>Sem Enlace</t>
  </si>
  <si>
    <t>$A$21&lt;=150</t>
  </si>
  <si>
    <t>$A$21&gt;=0</t>
  </si>
  <si>
    <t>$A$22&gt;=0</t>
  </si>
  <si>
    <t>Exemplo VII.7</t>
  </si>
  <si>
    <t>z</t>
  </si>
  <si>
    <t>x1</t>
  </si>
  <si>
    <t>x2</t>
  </si>
  <si>
    <t>Exemplo VII.8</t>
  </si>
  <si>
    <t>Custos</t>
  </si>
  <si>
    <r>
      <t>VALOR FUTURO</t>
    </r>
    <r>
      <rPr>
        <sz val="8"/>
        <color theme="1"/>
        <rFont val="Arial"/>
        <family val="2"/>
      </rPr>
      <t xml:space="preserve"> (quantia única)</t>
    </r>
  </si>
  <si>
    <t>Quantia inicial (euros)</t>
  </si>
  <si>
    <r>
      <t>Taxa de juro anual (</t>
    </r>
    <r>
      <rPr>
        <i/>
        <sz val="8"/>
        <color theme="1"/>
        <rFont val="Arial"/>
        <family val="2"/>
      </rPr>
      <t>r</t>
    </r>
    <r>
      <rPr>
        <sz val="8"/>
        <color theme="1"/>
        <rFont val="Arial"/>
        <family val="2"/>
      </rPr>
      <t>)</t>
    </r>
  </si>
  <si>
    <r>
      <t>Duração da aplicação em anos (</t>
    </r>
    <r>
      <rPr>
        <i/>
        <sz val="8"/>
        <color theme="1"/>
        <rFont val="Arial"/>
        <family val="2"/>
      </rPr>
      <t>T</t>
    </r>
    <r>
      <rPr>
        <sz val="8"/>
        <color theme="1"/>
        <rFont val="Arial"/>
        <family val="2"/>
      </rPr>
      <t>)</t>
    </r>
  </si>
  <si>
    <r>
      <t>Frequência de capitalização dos juros (</t>
    </r>
    <r>
      <rPr>
        <i/>
        <sz val="8"/>
        <color theme="1"/>
        <rFont val="Arial"/>
        <family val="2"/>
      </rPr>
      <t>m</t>
    </r>
    <r>
      <rPr>
        <sz val="8"/>
        <color theme="1"/>
        <rFont val="Arial"/>
        <family val="2"/>
      </rPr>
      <t>)</t>
    </r>
  </si>
  <si>
    <r>
      <t>Taxa de juro semestral (</t>
    </r>
    <r>
      <rPr>
        <i/>
        <sz val="8"/>
        <color theme="1"/>
        <rFont val="Arial"/>
        <family val="2"/>
      </rPr>
      <t>i</t>
    </r>
    <r>
      <rPr>
        <sz val="8"/>
        <color theme="1"/>
        <rFont val="Arial"/>
        <family val="2"/>
      </rPr>
      <t>)</t>
    </r>
  </si>
  <si>
    <r>
      <t xml:space="preserve">Nº total de períodos: </t>
    </r>
    <r>
      <rPr>
        <i/>
        <sz val="8"/>
        <color theme="1"/>
        <rFont val="Arial"/>
        <family val="2"/>
      </rPr>
      <t>N</t>
    </r>
    <r>
      <rPr>
        <sz val="8"/>
        <color theme="1"/>
        <rFont val="Arial"/>
        <family val="2"/>
      </rPr>
      <t xml:space="preserve"> = </t>
    </r>
    <r>
      <rPr>
        <i/>
        <sz val="8"/>
        <color theme="1"/>
        <rFont val="Arial"/>
        <family val="2"/>
      </rPr>
      <t>mT</t>
    </r>
  </si>
  <si>
    <t>Valor futuro (exemplo VIII.1)</t>
  </si>
  <si>
    <t>Valor futuro (exemplo VIII.2)</t>
  </si>
  <si>
    <t>TAXAS DE JURO</t>
  </si>
  <si>
    <t>Semestre 1</t>
  </si>
  <si>
    <t>Semestre 2</t>
  </si>
  <si>
    <t>Semestre 3</t>
  </si>
  <si>
    <t>Semestre 4</t>
  </si>
  <si>
    <t>Semestre 5</t>
  </si>
  <si>
    <t>Semestre 6</t>
  </si>
  <si>
    <t>Semestre 7</t>
  </si>
  <si>
    <t>Semestre 8</t>
  </si>
  <si>
    <t>Valor futuro</t>
  </si>
  <si>
    <t>Valor do depósito (euros)</t>
  </si>
  <si>
    <r>
      <t>Taxa de juro anual (</t>
    </r>
    <r>
      <rPr>
        <i/>
        <sz val="8"/>
        <color theme="1"/>
        <rFont val="Arial"/>
        <family val="2"/>
      </rPr>
      <t>r </t>
    </r>
    <r>
      <rPr>
        <sz val="8"/>
        <color theme="1"/>
        <rFont val="Arial"/>
        <family val="2"/>
      </rPr>
      <t>)</t>
    </r>
  </si>
  <si>
    <r>
      <t>Duração da aplicação (em anos) (</t>
    </r>
    <r>
      <rPr>
        <i/>
        <sz val="8"/>
        <color theme="1"/>
        <rFont val="Arial"/>
        <family val="2"/>
      </rPr>
      <t>T </t>
    </r>
    <r>
      <rPr>
        <sz val="8"/>
        <color theme="1"/>
        <rFont val="Arial"/>
        <family val="2"/>
      </rPr>
      <t>)</t>
    </r>
  </si>
  <si>
    <r>
      <t>Frequência da capitalização dos juros (</t>
    </r>
    <r>
      <rPr>
        <i/>
        <sz val="8"/>
        <color theme="1"/>
        <rFont val="Arial"/>
        <family val="2"/>
      </rPr>
      <t>m </t>
    </r>
    <r>
      <rPr>
        <sz val="8"/>
        <color theme="1"/>
        <rFont val="Arial"/>
        <family val="2"/>
      </rPr>
      <t>)</t>
    </r>
  </si>
  <si>
    <r>
      <t>Taxa de juro trimestral (</t>
    </r>
    <r>
      <rPr>
        <i/>
        <sz val="8"/>
        <color theme="1"/>
        <rFont val="Arial"/>
        <family val="2"/>
      </rPr>
      <t>i </t>
    </r>
    <r>
      <rPr>
        <sz val="8"/>
        <color theme="1"/>
        <rFont val="Arial"/>
        <family val="2"/>
      </rPr>
      <t>)</t>
    </r>
  </si>
  <si>
    <t>Valor futuro da quantia depositada</t>
  </si>
  <si>
    <t>Taxa de juro anual efectiva</t>
  </si>
  <si>
    <t>Taxa de juro anual nominal</t>
  </si>
  <si>
    <r>
      <t>VALOR ACTUAL</t>
    </r>
    <r>
      <rPr>
        <sz val="8"/>
        <color theme="1"/>
        <rFont val="Arial"/>
        <family val="2"/>
      </rPr>
      <t xml:space="preserve"> (quantia única)</t>
    </r>
  </si>
  <si>
    <r>
      <t>Taxa de desconto (anual) (</t>
    </r>
    <r>
      <rPr>
        <i/>
        <sz val="8"/>
        <color theme="1"/>
        <rFont val="Arial"/>
        <family val="2"/>
      </rPr>
      <t>r </t>
    </r>
    <r>
      <rPr>
        <sz val="8"/>
        <color theme="1"/>
        <rFont val="Arial"/>
        <family val="2"/>
      </rPr>
      <t>)</t>
    </r>
  </si>
  <si>
    <r>
      <t>Nº de capitalizações por ano (</t>
    </r>
    <r>
      <rPr>
        <i/>
        <sz val="8"/>
        <color theme="1"/>
        <rFont val="Arial"/>
        <family val="2"/>
      </rPr>
      <t>m </t>
    </r>
    <r>
      <rPr>
        <sz val="8"/>
        <color theme="1"/>
        <rFont val="Arial"/>
        <family val="2"/>
      </rPr>
      <t>)</t>
    </r>
  </si>
  <si>
    <r>
      <t>Taxa de desconto por período (</t>
    </r>
    <r>
      <rPr>
        <i/>
        <sz val="8"/>
        <color theme="1"/>
        <rFont val="Arial"/>
        <family val="2"/>
      </rPr>
      <t>i </t>
    </r>
    <r>
      <rPr>
        <sz val="8"/>
        <color theme="1"/>
        <rFont val="Arial"/>
        <family val="2"/>
      </rPr>
      <t>)</t>
    </r>
  </si>
  <si>
    <r>
      <t>Duração em anos (</t>
    </r>
    <r>
      <rPr>
        <i/>
        <sz val="8"/>
        <color theme="1"/>
        <rFont val="Arial"/>
        <family val="2"/>
      </rPr>
      <t>T </t>
    </r>
    <r>
      <rPr>
        <sz val="8"/>
        <color theme="1"/>
        <rFont val="Arial"/>
        <family val="2"/>
      </rPr>
      <t>)</t>
    </r>
  </si>
  <si>
    <r>
      <t>Valor da quantia a actualizar (</t>
    </r>
    <r>
      <rPr>
        <i/>
        <sz val="8"/>
        <color theme="1"/>
        <rFont val="Arial"/>
        <family val="2"/>
      </rPr>
      <t>F </t>
    </r>
    <r>
      <rPr>
        <sz val="8"/>
        <color theme="1"/>
        <rFont val="Arial"/>
        <family val="2"/>
      </rPr>
      <t>)</t>
    </r>
  </si>
  <si>
    <t>Valor actual da quantia</t>
  </si>
  <si>
    <t>VALOR FUTURO DE UMA RENDA</t>
  </si>
  <si>
    <t>Valor do termo da renda (anual)</t>
  </si>
  <si>
    <t>Quantia inicial não integrada na renda</t>
  </si>
  <si>
    <r>
      <t>Duração (em anos) da renda (</t>
    </r>
    <r>
      <rPr>
        <i/>
        <sz val="8"/>
        <color theme="1"/>
        <rFont val="Arial"/>
        <family val="2"/>
      </rPr>
      <t>N</t>
    </r>
    <r>
      <rPr>
        <sz val="8"/>
        <color theme="1"/>
        <rFont val="Arial"/>
        <family val="2"/>
      </rPr>
      <t xml:space="preserve"> = </t>
    </r>
    <r>
      <rPr>
        <i/>
        <sz val="8"/>
        <color theme="1"/>
        <rFont val="Arial"/>
        <family val="2"/>
      </rPr>
      <t>T </t>
    </r>
    <r>
      <rPr>
        <sz val="8"/>
        <color theme="1"/>
        <rFont val="Arial"/>
        <family val="2"/>
      </rPr>
      <t>)</t>
    </r>
  </si>
  <si>
    <r>
      <t>Termos disponíveis no final de cada período (</t>
    </r>
    <r>
      <rPr>
        <i/>
        <sz val="8"/>
        <color theme="1"/>
        <rFont val="Arial"/>
        <family val="2"/>
      </rPr>
      <t>q </t>
    </r>
    <r>
      <rPr>
        <sz val="8"/>
        <color theme="1"/>
        <rFont val="Arial"/>
        <family val="2"/>
      </rPr>
      <t>= 0)</t>
    </r>
  </si>
  <si>
    <t>Valor futuro da quantia despositada anualmente</t>
  </si>
  <si>
    <r>
      <t>Taxa de actualização (</t>
    </r>
    <r>
      <rPr>
        <i/>
        <sz val="8"/>
        <color theme="1"/>
        <rFont val="Arial"/>
        <family val="2"/>
      </rPr>
      <t>r </t>
    </r>
    <r>
      <rPr>
        <sz val="8"/>
        <color theme="1"/>
        <rFont val="Arial"/>
        <family val="2"/>
      </rPr>
      <t>)</t>
    </r>
  </si>
  <si>
    <r>
      <t>Duração da renda (anos) (</t>
    </r>
    <r>
      <rPr>
        <i/>
        <sz val="8"/>
        <color theme="1"/>
        <rFont val="Arial"/>
        <family val="2"/>
      </rPr>
      <t>T </t>
    </r>
    <r>
      <rPr>
        <sz val="8"/>
        <color theme="1"/>
        <rFont val="Arial"/>
        <family val="2"/>
      </rPr>
      <t>)</t>
    </r>
  </si>
  <si>
    <t>Termo da renda</t>
  </si>
  <si>
    <r>
      <t>Valor residual (</t>
    </r>
    <r>
      <rPr>
        <i/>
        <sz val="8"/>
        <color theme="1"/>
        <rFont val="Arial"/>
        <family val="2"/>
      </rPr>
      <t>F </t>
    </r>
    <r>
      <rPr>
        <sz val="8"/>
        <color theme="1"/>
        <rFont val="Arial"/>
        <family val="2"/>
      </rPr>
      <t>)</t>
    </r>
  </si>
  <si>
    <r>
      <t>Ocorrência dos termos (</t>
    </r>
    <r>
      <rPr>
        <i/>
        <sz val="8"/>
        <color theme="1"/>
        <rFont val="Arial"/>
        <family val="2"/>
      </rPr>
      <t>q </t>
    </r>
    <r>
      <rPr>
        <sz val="8"/>
        <color theme="1"/>
        <rFont val="Arial"/>
        <family val="2"/>
      </rPr>
      <t>)</t>
    </r>
  </si>
  <si>
    <t>Valor actual da renda</t>
  </si>
  <si>
    <r>
      <t>Duração do empréstimo (anos) (</t>
    </r>
    <r>
      <rPr>
        <i/>
        <sz val="8"/>
        <color theme="1"/>
        <rFont val="Arial"/>
        <family val="2"/>
      </rPr>
      <t>T </t>
    </r>
    <r>
      <rPr>
        <sz val="8"/>
        <color theme="1"/>
        <rFont val="Arial"/>
        <family val="2"/>
      </rPr>
      <t>)</t>
    </r>
  </si>
  <si>
    <t>Valor do empréstimo (em euros)</t>
  </si>
  <si>
    <t>Valor a pagar no fim da renda</t>
  </si>
  <si>
    <t>Pagamento no final de cada ano</t>
  </si>
  <si>
    <t>Valor da prestação anual a pagar</t>
  </si>
  <si>
    <t>Valor dos juros a pagar</t>
  </si>
  <si>
    <t>Juros a pagar na prestação 2</t>
  </si>
  <si>
    <t>Capital a amortizar na prestação 2</t>
  </si>
  <si>
    <t>Taxa de juro</t>
  </si>
  <si>
    <t>Duração da renda</t>
  </si>
  <si>
    <t>Período de imobilização</t>
  </si>
  <si>
    <t>Valor da prestação periódica</t>
  </si>
  <si>
    <t>Valor pretendido no futuro</t>
  </si>
  <si>
    <t>Modalidade de pagamento</t>
  </si>
  <si>
    <t>Valor do depósito</t>
  </si>
  <si>
    <t>Taxa de juro anual</t>
  </si>
  <si>
    <t>Duração da aplicação</t>
  </si>
  <si>
    <t>Valor a aplicar</t>
  </si>
  <si>
    <t>Valor futuro da aplicação</t>
  </si>
  <si>
    <t>Valor a aplicar no início</t>
  </si>
  <si>
    <t>Taxa de juro mensal</t>
  </si>
  <si>
    <t>Número de períodos</t>
  </si>
  <si>
    <t>Valor do empréstimo</t>
  </si>
  <si>
    <t>Valor a pagar no final do contrato</t>
  </si>
  <si>
    <t>Valor da prestação mensal a pagar</t>
  </si>
  <si>
    <t>p1</t>
  </si>
  <si>
    <t>p2</t>
  </si>
  <si>
    <t>JUROS</t>
  </si>
  <si>
    <t>CAPITAL</t>
  </si>
  <si>
    <t>Taxa do empréstimo</t>
  </si>
  <si>
    <t>Taxa de juro trimestral</t>
  </si>
  <si>
    <t>Trimestralidade a pagar</t>
  </si>
  <si>
    <t>Trimestre</t>
  </si>
  <si>
    <t>Juro</t>
  </si>
  <si>
    <t>Capital amortizado</t>
  </si>
  <si>
    <t>Capital em dívida</t>
  </si>
  <si>
    <t>ANÁLISE PARA UM DEPÓSITO BANCÁRIO</t>
  </si>
  <si>
    <t>Valor do depósito (em euros)</t>
  </si>
  <si>
    <t>Período (meses)</t>
  </si>
  <si>
    <t>Juros a vencer</t>
  </si>
  <si>
    <t>Vendas (em euros)</t>
  </si>
  <si>
    <t>Termo autónomo da relação (em euros)</t>
  </si>
  <si>
    <t>Coeficiente das vendas</t>
  </si>
  <si>
    <t>Resultados líquidos (em euros)</t>
  </si>
  <si>
    <t>Rendibilidade das vendas</t>
  </si>
  <si>
    <t>$B$2</t>
  </si>
  <si>
    <t>Optimista</t>
  </si>
  <si>
    <t>Criado por José Dias Curto em 08/09/2016</t>
  </si>
  <si>
    <t>Razoável</t>
  </si>
  <si>
    <t>Pessimista</t>
  </si>
  <si>
    <t>Sumário do cenário</t>
  </si>
  <si>
    <t>Células variáveis:</t>
  </si>
  <si>
    <t>Valores atuais:</t>
  </si>
  <si>
    <t>Células de resultado:</t>
  </si>
  <si>
    <t>Notas: A coluna 'Valores atuais' representa os valores das células</t>
  </si>
  <si>
    <t>no momento em que o Relatório de sumário do cenário foi criado.</t>
  </si>
  <si>
    <t>Alterações de células para cada cenário aparecem destacadas a cinzento.</t>
  </si>
  <si>
    <t>RL</t>
  </si>
  <si>
    <t>ROS</t>
  </si>
  <si>
    <t>Balanço em 31/12/2013</t>
  </si>
  <si>
    <t>Imobilizado corpóreo</t>
  </si>
  <si>
    <t>Existências</t>
  </si>
  <si>
    <t>Clientes</t>
  </si>
  <si>
    <t>Disponibilidades</t>
  </si>
  <si>
    <t>Total do Activo</t>
  </si>
  <si>
    <t xml:space="preserve">Capital </t>
  </si>
  <si>
    <t>Resultados líquidos</t>
  </si>
  <si>
    <t>Empréstimos bancários</t>
  </si>
  <si>
    <t>Fornecedores</t>
  </si>
  <si>
    <t>Total Capital próprio e Passivo</t>
  </si>
  <si>
    <t>Balanço em 31/12/2014</t>
  </si>
  <si>
    <t>Balanço em 31/12/2015</t>
  </si>
  <si>
    <t>Valor de aquisição do imobilizado</t>
  </si>
  <si>
    <t>Valor residual</t>
  </si>
  <si>
    <t>Vida útil (em anos)</t>
  </si>
  <si>
    <t>Valor da amortização anual</t>
  </si>
  <si>
    <t>Valor de aquisição</t>
  </si>
  <si>
    <t>Data da compra</t>
  </si>
  <si>
    <t>Fim do 1º período</t>
  </si>
  <si>
    <t>Taxa depreciação anual</t>
  </si>
  <si>
    <t>Opção contagem dos dias</t>
  </si>
  <si>
    <t>Valor amortização (q. c.)</t>
  </si>
  <si>
    <t>Valor da amortização (q. v.)</t>
  </si>
  <si>
    <t>DEMONSTRAÇÃO DE RESULTADOS PREVISIONAIS</t>
  </si>
  <si>
    <t>A.Vendas líquidas</t>
  </si>
  <si>
    <t>B. Custo das matérias consumidas</t>
  </si>
  <si>
    <t>C. Fornecimentos e serviços externos</t>
  </si>
  <si>
    <t>D. Custos com o pessoal</t>
  </si>
  <si>
    <t>E. Outros custos operacionais</t>
  </si>
  <si>
    <t>F. Amortizações do exercício</t>
  </si>
  <si>
    <t>G. Resultado de exploração</t>
  </si>
  <si>
    <t>H. Imposto sobre o rendimento (40%)</t>
  </si>
  <si>
    <t>I. Resultado líquido do exercício</t>
  </si>
  <si>
    <t>J. Custos operacionais desembolsáveis</t>
  </si>
  <si>
    <t>MEIOS LIBERTOS PELO PROJECTO</t>
  </si>
  <si>
    <t>K. Meios libertos brutos</t>
  </si>
  <si>
    <t>L. Meios libertos pelo projecto</t>
  </si>
  <si>
    <r>
      <t xml:space="preserve">MAPA DO </t>
    </r>
    <r>
      <rPr>
        <i/>
        <sz val="8"/>
        <color theme="1"/>
        <rFont val="Arial"/>
        <family val="2"/>
      </rPr>
      <t>CASH FLOW</t>
    </r>
  </si>
  <si>
    <t>CASH INFLOW</t>
  </si>
  <si>
    <t>M. Meios libertos pelo projecto</t>
  </si>
  <si>
    <t>N. Valor residual do investimento</t>
  </si>
  <si>
    <t>O. Valor residual NFM</t>
  </si>
  <si>
    <r>
      <t xml:space="preserve">P. Total </t>
    </r>
    <r>
      <rPr>
        <i/>
        <sz val="8"/>
        <color theme="1"/>
        <rFont val="Arial"/>
        <family val="2"/>
      </rPr>
      <t>cash inflow</t>
    </r>
  </si>
  <si>
    <t>CASH OUTFLOW</t>
  </si>
  <si>
    <t>Q. Variação das NFM</t>
  </si>
  <si>
    <t>R. Investimento em imobilizado</t>
  </si>
  <si>
    <r>
      <t xml:space="preserve">S. Total </t>
    </r>
    <r>
      <rPr>
        <i/>
        <sz val="8"/>
        <color theme="1"/>
        <rFont val="Arial"/>
        <family val="2"/>
      </rPr>
      <t>cash outflow</t>
    </r>
  </si>
  <si>
    <t>T. Cash flow líquido do projecto</t>
  </si>
  <si>
    <t>INDICADORES DE VIABILIDADE ECONÓMICA</t>
  </si>
  <si>
    <t>Taxa de actualização</t>
  </si>
  <si>
    <r>
      <t xml:space="preserve">Valor actualizado líquido dos </t>
    </r>
    <r>
      <rPr>
        <i/>
        <sz val="8"/>
        <color theme="1"/>
        <rFont val="Arial"/>
        <family val="2"/>
      </rPr>
      <t>cash flows</t>
    </r>
  </si>
  <si>
    <t>Taxa interna de rendibilidade</t>
  </si>
  <si>
    <t>Cash-flows</t>
  </si>
  <si>
    <t>Data</t>
  </si>
  <si>
    <t>VAL</t>
  </si>
  <si>
    <t>TIR</t>
  </si>
  <si>
    <t>Data de emissão</t>
  </si>
  <si>
    <t>Data do primeiro cupão</t>
  </si>
  <si>
    <t>Data do último cupão</t>
  </si>
  <si>
    <t>Taxa de juro do cupão (anual)</t>
  </si>
  <si>
    <t>Valor nominal (par) da obrigação</t>
  </si>
  <si>
    <t>Frequência do cupão</t>
  </si>
  <si>
    <t>Método de contagem dos dias</t>
  </si>
  <si>
    <t>Nº total de cupões</t>
  </si>
  <si>
    <t>Data de transacção</t>
  </si>
  <si>
    <t>Nº de cupões até à maturidade</t>
  </si>
  <si>
    <t>Data do próximo cupão</t>
  </si>
  <si>
    <t>Data do cupão anterior</t>
  </si>
  <si>
    <r>
      <t>Número de dias (</t>
    </r>
    <r>
      <rPr>
        <i/>
        <sz val="7"/>
        <color theme="1"/>
        <rFont val="Arial"/>
        <family val="2"/>
      </rPr>
      <t>DIT</t>
    </r>
    <r>
      <rPr>
        <sz val="7"/>
        <color theme="1"/>
        <rFont val="Arial"/>
        <family val="2"/>
      </rPr>
      <t>)</t>
    </r>
  </si>
  <si>
    <r>
      <t>Número total de dias (</t>
    </r>
    <r>
      <rPr>
        <i/>
        <sz val="7"/>
        <color theme="1"/>
        <rFont val="Arial"/>
        <family val="2"/>
      </rPr>
      <t>DC</t>
    </r>
    <r>
      <rPr>
        <sz val="7"/>
        <color theme="1"/>
        <rFont val="Arial"/>
        <family val="2"/>
      </rPr>
      <t>)</t>
    </r>
  </si>
  <si>
    <r>
      <t>Número de dias (</t>
    </r>
    <r>
      <rPr>
        <i/>
        <sz val="7"/>
        <color theme="1"/>
        <rFont val="Arial"/>
        <family val="2"/>
      </rPr>
      <t>DTC</t>
    </r>
    <r>
      <rPr>
        <sz val="7"/>
        <color theme="1"/>
        <rFont val="Arial"/>
        <family val="2"/>
      </rPr>
      <t>)</t>
    </r>
  </si>
  <si>
    <r>
      <t>Valor de cotação (</t>
    </r>
    <r>
      <rPr>
        <i/>
        <sz val="7"/>
        <color theme="1"/>
        <rFont val="Arial"/>
        <family val="2"/>
      </rPr>
      <t>clean price</t>
    </r>
    <r>
      <rPr>
        <sz val="7"/>
        <color theme="1"/>
        <rFont val="Arial"/>
        <family val="2"/>
      </rPr>
      <t>)</t>
    </r>
  </si>
  <si>
    <r>
      <t>Juros corridos (</t>
    </r>
    <r>
      <rPr>
        <i/>
        <sz val="7"/>
        <color theme="1"/>
        <rFont val="Arial"/>
        <family val="2"/>
      </rPr>
      <t>accrued interest</t>
    </r>
    <r>
      <rPr>
        <sz val="7"/>
        <color theme="1"/>
        <rFont val="Arial"/>
        <family val="2"/>
      </rPr>
      <t>)</t>
    </r>
  </si>
  <si>
    <r>
      <t>Preço efectivo (</t>
    </r>
    <r>
      <rPr>
        <i/>
        <sz val="7"/>
        <color theme="1"/>
        <rFont val="Arial"/>
        <family val="2"/>
      </rPr>
      <t>dirty price</t>
    </r>
    <r>
      <rPr>
        <sz val="7"/>
        <color theme="1"/>
        <rFont val="Arial"/>
        <family val="2"/>
      </rPr>
      <t>)</t>
    </r>
  </si>
  <si>
    <t>Yield do maturity</t>
  </si>
  <si>
    <t>Data 01/02/2018</t>
  </si>
  <si>
    <t>Data 04/10/2018</t>
  </si>
  <si>
    <r>
      <t>Valor nominal (</t>
    </r>
    <r>
      <rPr>
        <i/>
        <sz val="8"/>
        <color theme="1"/>
        <rFont val="Arial"/>
        <family val="2"/>
      </rPr>
      <t>VN</t>
    </r>
    <r>
      <rPr>
        <sz val="8"/>
        <color theme="1"/>
        <rFont val="Arial"/>
        <family val="2"/>
      </rPr>
      <t>)</t>
    </r>
  </si>
  <si>
    <t>Data de vencimento</t>
  </si>
  <si>
    <t>Taxa de desconto</t>
  </si>
  <si>
    <r>
      <t xml:space="preserve">Preço de emissão para um </t>
    </r>
    <r>
      <rPr>
        <i/>
        <sz val="8"/>
        <color theme="1"/>
        <rFont val="Arial"/>
        <family val="2"/>
      </rPr>
      <t>VN</t>
    </r>
    <r>
      <rPr>
        <sz val="8"/>
        <color theme="1"/>
        <rFont val="Arial"/>
        <family val="2"/>
      </rPr>
      <t xml:space="preserve"> de 100</t>
    </r>
  </si>
  <si>
    <r>
      <t xml:space="preserve">Preço de emissão para um </t>
    </r>
    <r>
      <rPr>
        <i/>
        <sz val="8"/>
        <color theme="1"/>
        <rFont val="Arial"/>
        <family val="2"/>
      </rPr>
      <t>VN</t>
    </r>
    <r>
      <rPr>
        <sz val="8"/>
        <color theme="1"/>
        <rFont val="Arial"/>
        <family val="2"/>
      </rPr>
      <t xml:space="preserve"> de 1000</t>
    </r>
  </si>
  <si>
    <t>Taxa de rendimento equivalente</t>
  </si>
  <si>
    <t>Rótulos de Linha</t>
  </si>
  <si>
    <t>Pullover azul modelo E-6001</t>
  </si>
  <si>
    <t>Pullover roxo modelo E-6007</t>
  </si>
  <si>
    <t>Pullover verde modelo E-6003</t>
  </si>
  <si>
    <t>Total Geral</t>
  </si>
  <si>
    <t>VALOR</t>
  </si>
  <si>
    <t>NÚMERO FATURA</t>
  </si>
  <si>
    <t>Soma de VALOR</t>
  </si>
  <si>
    <t>&gt;40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</si>
</sst>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#,##0.00\ &quot;€&quot;;[Red]\-#,##0.00\ &quot;€&quot;"/>
    <numFmt numFmtId="164" formatCode="#,##0.00\ &quot;€&quot;"/>
    <numFmt numFmtId="165" formatCode="[$-816]d\-mmm\-yy;@"/>
    <numFmt numFmtId="166" formatCode="0.0%"/>
    <numFmt numFmtId="167" formatCode="0.0000000"/>
    <numFmt numFmtId="168" formatCode="0.000"/>
    <numFmt numFmtId="169" formatCode="dd/mm/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Symbol"/>
      <family val="1"/>
      <charset val="2"/>
    </font>
    <font>
      <i/>
      <sz val="8"/>
      <color theme="1"/>
      <name val="Symbol"/>
      <family val="1"/>
      <charset val="2"/>
    </font>
    <font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sz val="11"/>
      <color indexed="18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i/>
      <sz val="7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165" fontId="0" fillId="0" borderId="0" xfId="0" applyNumberFormat="1"/>
    <xf numFmtId="0" fontId="1" fillId="0" borderId="0" xfId="0" applyFont="1" applyAlignment="1">
      <alignment horizontal="right"/>
    </xf>
    <xf numFmtId="164" fontId="0" fillId="0" borderId="0" xfId="0" applyNumberFormat="1" applyProtection="1"/>
    <xf numFmtId="0" fontId="5" fillId="3" borderId="0" xfId="0" applyFont="1" applyFill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14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3" fontId="6" fillId="0" borderId="1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3" fontId="0" fillId="0" borderId="0" xfId="0" applyNumberFormat="1"/>
    <xf numFmtId="14" fontId="0" fillId="0" borderId="0" xfId="0" applyNumberFormat="1"/>
    <xf numFmtId="0" fontId="6" fillId="0" borderId="0" xfId="0" applyNumberFormat="1" applyFont="1"/>
    <xf numFmtId="0" fontId="10" fillId="0" borderId="0" xfId="0" applyFont="1"/>
    <xf numFmtId="22" fontId="0" fillId="0" borderId="0" xfId="0" applyNumberFormat="1"/>
    <xf numFmtId="18" fontId="0" fillId="0" borderId="0" xfId="0" applyNumberFormat="1"/>
    <xf numFmtId="0" fontId="10" fillId="0" borderId="0" xfId="0" applyFont="1" applyAlignment="1">
      <alignment horizontal="right" vertical="center"/>
    </xf>
    <xf numFmtId="10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9" fontId="10" fillId="0" borderId="0" xfId="1" applyFont="1"/>
    <xf numFmtId="9" fontId="0" fillId="0" borderId="0" xfId="1" applyFont="1"/>
    <xf numFmtId="166" fontId="6" fillId="0" borderId="0" xfId="1" applyNumberFormat="1" applyFont="1"/>
    <xf numFmtId="166" fontId="9" fillId="0" borderId="0" xfId="1" applyNumberFormat="1" applyFont="1"/>
    <xf numFmtId="0" fontId="6" fillId="0" borderId="0" xfId="0" applyFont="1" applyBorder="1" applyAlignment="1">
      <alignment horizontal="center" vertical="center" wrapText="1"/>
    </xf>
    <xf numFmtId="10" fontId="0" fillId="0" borderId="0" xfId="1" applyNumberFormat="1" applyFont="1"/>
    <xf numFmtId="0" fontId="0" fillId="0" borderId="0" xfId="0" applyFill="1" applyBorder="1" applyAlignment="1"/>
    <xf numFmtId="0" fontId="0" fillId="0" borderId="7" xfId="0" applyFill="1" applyBorder="1" applyAlignment="1"/>
    <xf numFmtId="0" fontId="12" fillId="0" borderId="8" xfId="0" applyFont="1" applyFill="1" applyBorder="1" applyAlignment="1">
      <alignment horizontal="centerContinuous"/>
    </xf>
    <xf numFmtId="1" fontId="0" fillId="0" borderId="0" xfId="0" applyNumberFormat="1" applyFill="1" applyBorder="1" applyAlignment="1"/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0" fillId="0" borderId="0" xfId="0" applyNumberFormat="1" applyFill="1" applyBorder="1" applyAlignment="1"/>
    <xf numFmtId="0" fontId="0" fillId="0" borderId="10" xfId="0" applyFill="1" applyBorder="1" applyAlignment="1"/>
    <xf numFmtId="0" fontId="12" fillId="0" borderId="8" xfId="0" applyFont="1" applyFill="1" applyBorder="1" applyAlignment="1">
      <alignment horizontal="center"/>
    </xf>
    <xf numFmtId="9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" fontId="0" fillId="0" borderId="0" xfId="0" applyNumberFormat="1"/>
    <xf numFmtId="0" fontId="17" fillId="0" borderId="11" xfId="0" applyFont="1" applyFill="1" applyBorder="1" applyAlignment="1">
      <alignment horizontal="right"/>
    </xf>
    <xf numFmtId="0" fontId="0" fillId="0" borderId="0" xfId="1" applyNumberFormat="1" applyFont="1"/>
    <xf numFmtId="0" fontId="0" fillId="0" borderId="0" xfId="0" applyFont="1"/>
    <xf numFmtId="0" fontId="1" fillId="0" borderId="0" xfId="0" applyFont="1"/>
    <xf numFmtId="0" fontId="0" fillId="0" borderId="13" xfId="0" applyFill="1" applyBorder="1" applyAlignment="1"/>
    <xf numFmtId="0" fontId="19" fillId="0" borderId="12" xfId="0" applyFont="1" applyFill="1" applyBorder="1" applyAlignment="1">
      <alignment horizontal="center"/>
    </xf>
    <xf numFmtId="0" fontId="0" fillId="0" borderId="14" xfId="0" applyFill="1" applyBorder="1" applyAlignment="1"/>
    <xf numFmtId="0" fontId="0" fillId="0" borderId="13" xfId="0" applyNumberFormat="1" applyFill="1" applyBorder="1" applyAlignment="1"/>
    <xf numFmtId="0" fontId="0" fillId="0" borderId="14" xfId="0" applyNumberFormat="1" applyFill="1" applyBorder="1" applyAlignment="1"/>
    <xf numFmtId="8" fontId="0" fillId="0" borderId="0" xfId="0" applyNumberFormat="1"/>
    <xf numFmtId="10" fontId="0" fillId="0" borderId="0" xfId="0" applyNumberFormat="1"/>
    <xf numFmtId="8" fontId="11" fillId="0" borderId="0" xfId="0" applyNumberFormat="1" applyFont="1"/>
    <xf numFmtId="8" fontId="16" fillId="0" borderId="0" xfId="0" applyNumberFormat="1" applyFont="1"/>
    <xf numFmtId="0" fontId="20" fillId="4" borderId="15" xfId="0" applyFont="1" applyFill="1" applyBorder="1" applyAlignment="1">
      <alignment horizontal="left"/>
    </xf>
    <xf numFmtId="0" fontId="20" fillId="4" borderId="9" xfId="0" applyFont="1" applyFill="1" applyBorder="1" applyAlignment="1">
      <alignment horizontal="left"/>
    </xf>
    <xf numFmtId="0" fontId="21" fillId="5" borderId="0" xfId="0" applyFont="1" applyFill="1" applyBorder="1" applyAlignment="1">
      <alignment horizontal="left"/>
    </xf>
    <xf numFmtId="0" fontId="19" fillId="5" borderId="10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2" fillId="4" borderId="9" xfId="0" applyFont="1" applyFill="1" applyBorder="1" applyAlignment="1">
      <alignment horizontal="right"/>
    </xf>
    <xf numFmtId="0" fontId="22" fillId="4" borderId="15" xfId="0" applyFont="1" applyFill="1" applyBorder="1" applyAlignment="1">
      <alignment horizontal="right"/>
    </xf>
    <xf numFmtId="0" fontId="0" fillId="6" borderId="0" xfId="0" applyFill="1" applyBorder="1" applyAlignment="1"/>
    <xf numFmtId="0" fontId="23" fillId="0" borderId="0" xfId="0" applyFont="1" applyFill="1" applyBorder="1" applyAlignment="1">
      <alignment vertical="top" wrapText="1"/>
    </xf>
    <xf numFmtId="16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Border="1"/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0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worksheet" Target="worksheets/sheet21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>
                <a:solidFill>
                  <a:sysClr val="windowText" lastClr="000000"/>
                </a:solidFill>
              </a:rPr>
              <a:t>Vendas da empresa Exportex</a:t>
            </a:r>
          </a:p>
        </c:rich>
      </c:tx>
      <c:layout>
        <c:manualLayout>
          <c:xMode val="edge"/>
          <c:yMode val="edge"/>
          <c:x val="0.3223818897637795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Vendas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Vendas!$B$5:$B$19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Vendas!$C$5:$C$19</c:f>
              <c:numCache>
                <c:formatCode>General</c:formatCode>
                <c:ptCount val="15"/>
                <c:pt idx="0">
                  <c:v>625300</c:v>
                </c:pt>
                <c:pt idx="1">
                  <c:v>637540</c:v>
                </c:pt>
                <c:pt idx="2">
                  <c:v>675000</c:v>
                </c:pt>
                <c:pt idx="3">
                  <c:v>637500</c:v>
                </c:pt>
                <c:pt idx="4">
                  <c:v>725400</c:v>
                </c:pt>
                <c:pt idx="5">
                  <c:v>825350</c:v>
                </c:pt>
                <c:pt idx="6">
                  <c:v>900300</c:v>
                </c:pt>
                <c:pt idx="7">
                  <c:v>775000</c:v>
                </c:pt>
                <c:pt idx="8">
                  <c:v>835000</c:v>
                </c:pt>
                <c:pt idx="9">
                  <c:v>885000</c:v>
                </c:pt>
                <c:pt idx="10">
                  <c:v>990375</c:v>
                </c:pt>
                <c:pt idx="11">
                  <c:v>976000</c:v>
                </c:pt>
                <c:pt idx="12">
                  <c:v>960200</c:v>
                </c:pt>
                <c:pt idx="13">
                  <c:v>935100</c:v>
                </c:pt>
                <c:pt idx="14">
                  <c:v>975000</c:v>
                </c:pt>
              </c:numCache>
            </c:numRef>
          </c:val>
          <c:smooth val="0"/>
        </c:ser>
        <c:ser>
          <c:idx val="1"/>
          <c:order val="1"/>
          <c:tx>
            <c:v>Resultados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Vendas!$E$5:$E$19</c:f>
              <c:numCache>
                <c:formatCode>General</c:formatCode>
                <c:ptCount val="15"/>
                <c:pt idx="0">
                  <c:v>125450</c:v>
                </c:pt>
                <c:pt idx="1">
                  <c:v>65335</c:v>
                </c:pt>
                <c:pt idx="2">
                  <c:v>90450</c:v>
                </c:pt>
                <c:pt idx="3">
                  <c:v>135455</c:v>
                </c:pt>
                <c:pt idx="4">
                  <c:v>140350</c:v>
                </c:pt>
                <c:pt idx="5">
                  <c:v>125365</c:v>
                </c:pt>
                <c:pt idx="6">
                  <c:v>162500</c:v>
                </c:pt>
                <c:pt idx="7">
                  <c:v>67000</c:v>
                </c:pt>
                <c:pt idx="8">
                  <c:v>85225</c:v>
                </c:pt>
                <c:pt idx="9">
                  <c:v>90330</c:v>
                </c:pt>
                <c:pt idx="10">
                  <c:v>122725</c:v>
                </c:pt>
                <c:pt idx="11">
                  <c:v>131710</c:v>
                </c:pt>
                <c:pt idx="12">
                  <c:v>126730</c:v>
                </c:pt>
                <c:pt idx="13">
                  <c:v>124905</c:v>
                </c:pt>
                <c:pt idx="14">
                  <c:v>133725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9285808"/>
        <c:axId val="419283456"/>
      </c:lineChart>
      <c:catAx>
        <c:axId val="4192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 i="0" baseline="0">
                    <a:solidFill>
                      <a:sysClr val="windowText" lastClr="000000"/>
                    </a:solidFill>
                  </a:rPr>
                  <a:t>Anos</a:t>
                </a:r>
              </a:p>
            </c:rich>
          </c:tx>
          <c:layout>
            <c:manualLayout>
              <c:xMode val="edge"/>
              <c:yMode val="edge"/>
              <c:x val="0.48577404998288259"/>
              <c:y val="0.8865681749563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9283456"/>
        <c:crosses val="autoZero"/>
        <c:auto val="1"/>
        <c:lblAlgn val="ctr"/>
        <c:lblOffset val="100"/>
        <c:noMultiLvlLbl val="0"/>
      </c:catAx>
      <c:valAx>
        <c:axId val="41928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 i="0" baseline="0">
                    <a:solidFill>
                      <a:sysClr val="windowText" lastClr="000000"/>
                    </a:solidFill>
                  </a:rPr>
                  <a:t>Euros</a:t>
                </a:r>
              </a:p>
            </c:rich>
          </c:tx>
          <c:layout>
            <c:manualLayout>
              <c:xMode val="edge"/>
              <c:yMode val="edge"/>
              <c:x val="2.0289855072463767E-2"/>
              <c:y val="0.37043224101278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9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latin typeface="Times New Roman" panose="02020603050405020304" pitchFamily="18" charset="0"/>
              </a:rPr>
              <a:t>Vendas e Resultados Exportex 2002-2016</a:t>
            </a:r>
          </a:p>
        </c:rich>
      </c:tx>
      <c:layout>
        <c:manualLayout>
          <c:xMode val="edge"/>
          <c:yMode val="edge"/>
          <c:x val="0.3223818897637795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19498299669063107"/>
          <c:y val="0.18975442790538535"/>
          <c:w val="0.75031093288718342"/>
          <c:h val="0.56492190963876987"/>
        </c:manualLayout>
      </c:layout>
      <c:barChart>
        <c:barDir val="col"/>
        <c:grouping val="clustered"/>
        <c:varyColors val="0"/>
        <c:ser>
          <c:idx val="0"/>
          <c:order val="0"/>
          <c:tx>
            <c:v>Vendas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Vendas!$B$5:$B$19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Vendas!$C$5:$C$19</c:f>
              <c:numCache>
                <c:formatCode>General</c:formatCode>
                <c:ptCount val="15"/>
                <c:pt idx="0">
                  <c:v>625300</c:v>
                </c:pt>
                <c:pt idx="1">
                  <c:v>637540</c:v>
                </c:pt>
                <c:pt idx="2">
                  <c:v>675000</c:v>
                </c:pt>
                <c:pt idx="3">
                  <c:v>637500</c:v>
                </c:pt>
                <c:pt idx="4">
                  <c:v>725400</c:v>
                </c:pt>
                <c:pt idx="5">
                  <c:v>825350</c:v>
                </c:pt>
                <c:pt idx="6">
                  <c:v>900300</c:v>
                </c:pt>
                <c:pt idx="7">
                  <c:v>775000</c:v>
                </c:pt>
                <c:pt idx="8">
                  <c:v>835000</c:v>
                </c:pt>
                <c:pt idx="9">
                  <c:v>885000</c:v>
                </c:pt>
                <c:pt idx="10">
                  <c:v>990375</c:v>
                </c:pt>
                <c:pt idx="11">
                  <c:v>976000</c:v>
                </c:pt>
                <c:pt idx="12">
                  <c:v>960200</c:v>
                </c:pt>
                <c:pt idx="13">
                  <c:v>935100</c:v>
                </c:pt>
                <c:pt idx="14">
                  <c:v>975000</c:v>
                </c:pt>
              </c:numCache>
            </c:numRef>
          </c:val>
        </c:ser>
        <c:ser>
          <c:idx val="1"/>
          <c:order val="1"/>
          <c:tx>
            <c:v>Resultados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Vendas!$E$5:$E$19</c:f>
              <c:numCache>
                <c:formatCode>General</c:formatCode>
                <c:ptCount val="15"/>
                <c:pt idx="0">
                  <c:v>125450</c:v>
                </c:pt>
                <c:pt idx="1">
                  <c:v>65335</c:v>
                </c:pt>
                <c:pt idx="2">
                  <c:v>90450</c:v>
                </c:pt>
                <c:pt idx="3">
                  <c:v>135455</c:v>
                </c:pt>
                <c:pt idx="4">
                  <c:v>140350</c:v>
                </c:pt>
                <c:pt idx="5">
                  <c:v>125365</c:v>
                </c:pt>
                <c:pt idx="6">
                  <c:v>162500</c:v>
                </c:pt>
                <c:pt idx="7">
                  <c:v>67000</c:v>
                </c:pt>
                <c:pt idx="8">
                  <c:v>85225</c:v>
                </c:pt>
                <c:pt idx="9">
                  <c:v>90330</c:v>
                </c:pt>
                <c:pt idx="10">
                  <c:v>122725</c:v>
                </c:pt>
                <c:pt idx="11">
                  <c:v>131710</c:v>
                </c:pt>
                <c:pt idx="12">
                  <c:v>126730</c:v>
                </c:pt>
                <c:pt idx="13">
                  <c:v>124905</c:v>
                </c:pt>
                <c:pt idx="14">
                  <c:v>133725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88944"/>
        <c:axId val="419289728"/>
      </c:barChart>
      <c:catAx>
        <c:axId val="419288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Anos</a:t>
                </a:r>
              </a:p>
            </c:rich>
          </c:tx>
          <c:layout>
            <c:manualLayout>
              <c:xMode val="edge"/>
              <c:yMode val="edge"/>
              <c:x val="0.48577404998288259"/>
              <c:y val="0.8865681749563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9289728"/>
        <c:crosses val="autoZero"/>
        <c:auto val="1"/>
        <c:lblAlgn val="ctr"/>
        <c:lblOffset val="100"/>
        <c:noMultiLvlLbl val="0"/>
      </c:catAx>
      <c:valAx>
        <c:axId val="41928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b="1" i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Euros</a:t>
                </a:r>
              </a:p>
            </c:rich>
          </c:tx>
          <c:layout>
            <c:manualLayout>
              <c:xMode val="edge"/>
              <c:yMode val="edge"/>
              <c:x val="2.0289855072463767E-2"/>
              <c:y val="0.370432241012789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1928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PT"/>
          </a:p>
        </c:txPr>
      </c:legendEntry>
      <c:layout>
        <c:manualLayout>
          <c:xMode val="edge"/>
          <c:yMode val="edge"/>
          <c:x val="0.77509810430525861"/>
          <c:y val="0.41328767250452769"/>
          <c:w val="0.12156630505503845"/>
          <c:h val="0.166687369346565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Histograma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Frequência</c:v>
          </c:tx>
          <c:invertIfNegative val="0"/>
          <c:cat>
            <c:strRef>
              <c:f>Vendas!$A$85:$A$88</c:f>
              <c:strCache>
                <c:ptCount val="4"/>
                <c:pt idx="0">
                  <c:v>650000</c:v>
                </c:pt>
                <c:pt idx="1">
                  <c:v>800000</c:v>
                </c:pt>
                <c:pt idx="2">
                  <c:v>950000</c:v>
                </c:pt>
                <c:pt idx="3">
                  <c:v>Mais</c:v>
                </c:pt>
              </c:strCache>
            </c:strRef>
          </c:cat>
          <c:val>
            <c:numRef>
              <c:f>Vendas!$B$85:$B$88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290120"/>
        <c:axId val="419285024"/>
      </c:barChart>
      <c:catAx>
        <c:axId val="419290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Limite superior das classes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285024"/>
        <c:crosses val="autoZero"/>
        <c:auto val="1"/>
        <c:lblAlgn val="ctr"/>
        <c:lblOffset val="100"/>
        <c:noMultiLvlLbl val="0"/>
      </c:catAx>
      <c:valAx>
        <c:axId val="419285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Frequência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290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Média móvel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Vendas!$C$5:$C$19</c:f>
              <c:numCache>
                <c:formatCode>General</c:formatCode>
                <c:ptCount val="15"/>
                <c:pt idx="0">
                  <c:v>625300</c:v>
                </c:pt>
                <c:pt idx="1">
                  <c:v>637540</c:v>
                </c:pt>
                <c:pt idx="2">
                  <c:v>675000</c:v>
                </c:pt>
                <c:pt idx="3">
                  <c:v>637500</c:v>
                </c:pt>
                <c:pt idx="4">
                  <c:v>725400</c:v>
                </c:pt>
                <c:pt idx="5">
                  <c:v>825350</c:v>
                </c:pt>
                <c:pt idx="6">
                  <c:v>900300</c:v>
                </c:pt>
                <c:pt idx="7">
                  <c:v>775000</c:v>
                </c:pt>
                <c:pt idx="8">
                  <c:v>835000</c:v>
                </c:pt>
                <c:pt idx="9">
                  <c:v>885000</c:v>
                </c:pt>
                <c:pt idx="10">
                  <c:v>990375</c:v>
                </c:pt>
                <c:pt idx="11">
                  <c:v>976000</c:v>
                </c:pt>
                <c:pt idx="12">
                  <c:v>960200</c:v>
                </c:pt>
                <c:pt idx="13">
                  <c:v>935100</c:v>
                </c:pt>
                <c:pt idx="14">
                  <c:v>975000</c:v>
                </c:pt>
              </c:numCache>
            </c:numRef>
          </c:val>
          <c:smooth val="0"/>
        </c:ser>
        <c:ser>
          <c:idx val="1"/>
          <c:order val="1"/>
          <c:tx>
            <c:v>Previsão</c:v>
          </c:tx>
          <c:val>
            <c:numRef>
              <c:f>Vendas!$A$166:$A$180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645946.66666666663</c:v>
                </c:pt>
                <c:pt idx="3">
                  <c:v>650013.33333333337</c:v>
                </c:pt>
                <c:pt idx="4">
                  <c:v>679300</c:v>
                </c:pt>
                <c:pt idx="5">
                  <c:v>729416.66666666663</c:v>
                </c:pt>
                <c:pt idx="6">
                  <c:v>817016.66666666663</c:v>
                </c:pt>
                <c:pt idx="7">
                  <c:v>833550</c:v>
                </c:pt>
                <c:pt idx="8">
                  <c:v>836766.66666666663</c:v>
                </c:pt>
                <c:pt idx="9">
                  <c:v>831666.66666666663</c:v>
                </c:pt>
                <c:pt idx="10">
                  <c:v>903458.33333333337</c:v>
                </c:pt>
                <c:pt idx="11">
                  <c:v>950458.33333333337</c:v>
                </c:pt>
                <c:pt idx="12">
                  <c:v>975525</c:v>
                </c:pt>
                <c:pt idx="13">
                  <c:v>957100</c:v>
                </c:pt>
                <c:pt idx="14">
                  <c:v>956766.66666666663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86592"/>
        <c:axId val="419286984"/>
      </c:lineChart>
      <c:catAx>
        <c:axId val="41928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Ponto de dados</a:t>
                </a:r>
              </a:p>
            </c:rich>
          </c:tx>
          <c:overlay val="0"/>
        </c:title>
        <c:majorTickMark val="out"/>
        <c:minorTickMark val="none"/>
        <c:tickLblPos val="nextTo"/>
        <c:crossAx val="419286984"/>
        <c:crosses val="autoZero"/>
        <c:auto val="1"/>
        <c:lblAlgn val="ctr"/>
        <c:lblOffset val="100"/>
        <c:noMultiLvlLbl val="0"/>
      </c:catAx>
      <c:valAx>
        <c:axId val="41928698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Valor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28659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Ajuste exponencial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</c:v>
          </c:tx>
          <c:val>
            <c:numRef>
              <c:f>Vendas!$C$5:$C$19</c:f>
              <c:numCache>
                <c:formatCode>General</c:formatCode>
                <c:ptCount val="15"/>
                <c:pt idx="0">
                  <c:v>625300</c:v>
                </c:pt>
                <c:pt idx="1">
                  <c:v>637540</c:v>
                </c:pt>
                <c:pt idx="2">
                  <c:v>675000</c:v>
                </c:pt>
                <c:pt idx="3">
                  <c:v>637500</c:v>
                </c:pt>
                <c:pt idx="4">
                  <c:v>725400</c:v>
                </c:pt>
                <c:pt idx="5">
                  <c:v>825350</c:v>
                </c:pt>
                <c:pt idx="6">
                  <c:v>900300</c:v>
                </c:pt>
                <c:pt idx="7">
                  <c:v>775000</c:v>
                </c:pt>
                <c:pt idx="8">
                  <c:v>835000</c:v>
                </c:pt>
                <c:pt idx="9">
                  <c:v>885000</c:v>
                </c:pt>
                <c:pt idx="10">
                  <c:v>990375</c:v>
                </c:pt>
                <c:pt idx="11">
                  <c:v>976000</c:v>
                </c:pt>
                <c:pt idx="12">
                  <c:v>960200</c:v>
                </c:pt>
                <c:pt idx="13">
                  <c:v>935100</c:v>
                </c:pt>
                <c:pt idx="14">
                  <c:v>975000</c:v>
                </c:pt>
              </c:numCache>
            </c:numRef>
          </c:val>
          <c:smooth val="0"/>
        </c:ser>
        <c:ser>
          <c:idx val="1"/>
          <c:order val="1"/>
          <c:tx>
            <c:v>Previsão</c:v>
          </c:tx>
          <c:val>
            <c:numRef>
              <c:f>Vendas!$A$182:$A$196</c:f>
              <c:numCache>
                <c:formatCode>General</c:formatCode>
                <c:ptCount val="15"/>
                <c:pt idx="0">
                  <c:v>0</c:v>
                </c:pt>
                <c:pt idx="1">
                  <c:v>625300</c:v>
                </c:pt>
                <c:pt idx="2">
                  <c:v>627748</c:v>
                </c:pt>
                <c:pt idx="3">
                  <c:v>637198.4</c:v>
                </c:pt>
                <c:pt idx="4">
                  <c:v>637258.72</c:v>
                </c:pt>
                <c:pt idx="5">
                  <c:v>654886.97600000002</c:v>
                </c:pt>
                <c:pt idx="6">
                  <c:v>688979.58080000011</c:v>
                </c:pt>
                <c:pt idx="7">
                  <c:v>731243.66464000009</c:v>
                </c:pt>
                <c:pt idx="8">
                  <c:v>739994.93171200005</c:v>
                </c:pt>
                <c:pt idx="9">
                  <c:v>758995.94536960009</c:v>
                </c:pt>
                <c:pt idx="10">
                  <c:v>784196.75629568007</c:v>
                </c:pt>
                <c:pt idx="11">
                  <c:v>825432.40503654408</c:v>
                </c:pt>
                <c:pt idx="12">
                  <c:v>855545.92402923526</c:v>
                </c:pt>
                <c:pt idx="13">
                  <c:v>876476.73922338826</c:v>
                </c:pt>
                <c:pt idx="14">
                  <c:v>888201.39137871063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290904"/>
        <c:axId val="421679128"/>
      </c:lineChart>
      <c:catAx>
        <c:axId val="419290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Ponto de dados</a:t>
                </a:r>
              </a:p>
            </c:rich>
          </c:tx>
          <c:overlay val="0"/>
        </c:title>
        <c:majorTickMark val="out"/>
        <c:minorTickMark val="none"/>
        <c:tickLblPos val="nextTo"/>
        <c:crossAx val="421679128"/>
        <c:crosses val="autoZero"/>
        <c:auto val="1"/>
        <c:lblAlgn val="ctr"/>
        <c:lblOffset val="100"/>
        <c:noMultiLvlLbl val="0"/>
      </c:catAx>
      <c:valAx>
        <c:axId val="421679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Valor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9290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Resultados Líquidos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Vendas!$E$4</c:f>
              <c:strCache>
                <c:ptCount val="1"/>
                <c:pt idx="0">
                  <c:v>RESULTADOS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Vendas!$B$5:$B$19</c:f>
              <c:strCache>
                <c:ptCount val="1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</c:strCache>
            </c:strRef>
          </c:cat>
          <c:val>
            <c:numRef>
              <c:f>Vendas!$E$5:$E$19</c:f>
              <c:numCache>
                <c:formatCode>General</c:formatCode>
                <c:ptCount val="15"/>
                <c:pt idx="0">
                  <c:v>125450</c:v>
                </c:pt>
                <c:pt idx="1">
                  <c:v>65335</c:v>
                </c:pt>
                <c:pt idx="2">
                  <c:v>90450</c:v>
                </c:pt>
                <c:pt idx="3">
                  <c:v>135455</c:v>
                </c:pt>
                <c:pt idx="4">
                  <c:v>140350</c:v>
                </c:pt>
                <c:pt idx="5">
                  <c:v>125365</c:v>
                </c:pt>
                <c:pt idx="6">
                  <c:v>162500</c:v>
                </c:pt>
                <c:pt idx="7">
                  <c:v>67000</c:v>
                </c:pt>
                <c:pt idx="8">
                  <c:v>85225</c:v>
                </c:pt>
                <c:pt idx="9">
                  <c:v>90330</c:v>
                </c:pt>
                <c:pt idx="10">
                  <c:v>122725</c:v>
                </c:pt>
                <c:pt idx="11">
                  <c:v>131710</c:v>
                </c:pt>
                <c:pt idx="12">
                  <c:v>126730</c:v>
                </c:pt>
                <c:pt idx="13">
                  <c:v>124905</c:v>
                </c:pt>
                <c:pt idx="14">
                  <c:v>133725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0</xdr:row>
      <xdr:rowOff>0</xdr:rowOff>
    </xdr:from>
    <xdr:to>
      <xdr:col>16</xdr:col>
      <xdr:colOff>447675</xdr:colOff>
      <xdr:row>11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304799</xdr:colOff>
      <xdr:row>12</xdr:row>
      <xdr:rowOff>180975</xdr:rowOff>
    </xdr:from>
    <xdr:to>
      <xdr:col>18</xdr:col>
      <xdr:colOff>466724</xdr:colOff>
      <xdr:row>24</xdr:row>
      <xdr:rowOff>157162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6</xdr:col>
      <xdr:colOff>600075</xdr:colOff>
      <xdr:row>92</xdr:row>
      <xdr:rowOff>180975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209550</xdr:colOff>
      <xdr:row>167</xdr:row>
      <xdr:rowOff>171450</xdr:rowOff>
    </xdr:from>
    <xdr:to>
      <xdr:col>6</xdr:col>
      <xdr:colOff>457200</xdr:colOff>
      <xdr:row>177</xdr:row>
      <xdr:rowOff>171450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183</xdr:row>
      <xdr:rowOff>0</xdr:rowOff>
    </xdr:from>
    <xdr:to>
      <xdr:col>6</xdr:col>
      <xdr:colOff>247650</xdr:colOff>
      <xdr:row>193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015" cy="62978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sé Dias Curto" refreshedDate="42626.454636111113" createdVersion="5" refreshedVersion="5" minRefreshableVersion="3" recordCount="15">
  <cacheSource type="worksheet">
    <worksheetSource ref="A14:D29" sheet="Produtos"/>
  </cacheSource>
  <cacheFields count="4">
    <cacheField name="CÓDIGO" numFmtId="0">
      <sharedItems containsSemiMixedTypes="0" containsString="0" containsNumber="1" containsInteger="1" minValue="5001" maxValue="6007"/>
    </cacheField>
    <cacheField name="DESIGNAÇÃO" numFmtId="0">
      <sharedItems count="6">
        <s v="Parka verde E-5001"/>
        <s v="Pullover azul modelo E-6001"/>
        <s v="Parka roxa E-5005"/>
        <s v="Parka azul E-5003"/>
        <s v="Pullover verde modelo E-6003"/>
        <s v="Pullover roxo modelo E-6007"/>
      </sharedItems>
    </cacheField>
    <cacheField name="NÚMERO FATURA" numFmtId="0">
      <sharedItems containsSemiMixedTypes="0" containsString="0" containsNumber="1" containsInteger="1" minValue="1234" maxValue="1248"/>
    </cacheField>
    <cacheField name="VALOR" numFmtId="0">
      <sharedItems containsSemiMixedTypes="0" containsString="0" containsNumber="1" containsInteger="1" minValue="5182" maxValue="97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n v="5001"/>
    <x v="0"/>
    <n v="1234"/>
    <n v="8848"/>
  </r>
  <r>
    <n v="6001"/>
    <x v="1"/>
    <n v="1235"/>
    <n v="8717"/>
  </r>
  <r>
    <n v="5005"/>
    <x v="2"/>
    <n v="1236"/>
    <n v="9368"/>
  </r>
  <r>
    <n v="5003"/>
    <x v="3"/>
    <n v="1237"/>
    <n v="5182"/>
  </r>
  <r>
    <n v="5005"/>
    <x v="2"/>
    <n v="1238"/>
    <n v="7493"/>
  </r>
  <r>
    <n v="6001"/>
    <x v="1"/>
    <n v="1239"/>
    <n v="6980"/>
  </r>
  <r>
    <n v="5003"/>
    <x v="3"/>
    <n v="1240"/>
    <n v="9331"/>
  </r>
  <r>
    <n v="6003"/>
    <x v="4"/>
    <n v="1241"/>
    <n v="9731"/>
  </r>
  <r>
    <n v="5001"/>
    <x v="0"/>
    <n v="1242"/>
    <n v="9545"/>
  </r>
  <r>
    <n v="6001"/>
    <x v="1"/>
    <n v="1243"/>
    <n v="6575"/>
  </r>
  <r>
    <n v="6007"/>
    <x v="5"/>
    <n v="1244"/>
    <n v="7578"/>
  </r>
  <r>
    <n v="5003"/>
    <x v="3"/>
    <n v="1245"/>
    <n v="8551"/>
  </r>
  <r>
    <n v="6003"/>
    <x v="4"/>
    <n v="1246"/>
    <n v="7815"/>
  </r>
  <r>
    <n v="6003"/>
    <x v="4"/>
    <n v="1247"/>
    <n v="9165"/>
  </r>
  <r>
    <n v="6007"/>
    <x v="5"/>
    <n v="1248"/>
    <n v="54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3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F14:G21" firstHeaderRow="1" firstDataRow="1" firstDataCol="1"/>
  <pivotFields count="4">
    <pivotField showAll="0"/>
    <pivotField axis="axisRow" showAll="0">
      <items count="7">
        <item x="3"/>
        <item x="2"/>
        <item x="0"/>
        <item x="1"/>
        <item x="5"/>
        <item x="4"/>
        <item t="default"/>
      </items>
    </pivotField>
    <pivotField showAll="0"/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a de VALOR" fld="3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Normal="100" workbookViewId="0"/>
  </sheetViews>
  <sheetFormatPr defaultRowHeight="15" x14ac:dyDescent="0.25"/>
  <cols>
    <col min="1" max="1" width="22.7109375" customWidth="1"/>
    <col min="2" max="2" width="29.7109375" bestFit="1" customWidth="1"/>
    <col min="3" max="3" width="26.5703125" customWidth="1"/>
    <col min="4" max="4" width="15.85546875" customWidth="1"/>
    <col min="5" max="5" width="19.42578125" customWidth="1"/>
    <col min="6" max="6" width="25.7109375" bestFit="1" customWidth="1"/>
    <col min="7" max="7" width="12.7109375" customWidth="1"/>
    <col min="8" max="8" width="23.42578125" customWidth="1"/>
    <col min="9" max="9" width="16.140625" bestFit="1" customWidth="1"/>
    <col min="10" max="10" width="22.140625" bestFit="1" customWidth="1"/>
    <col min="11" max="11" width="10.7109375" bestFit="1" customWidth="1"/>
    <col min="12" max="12" width="23.28515625" bestFit="1" customWidth="1"/>
    <col min="14" max="14" width="23" bestFit="1" customWidth="1"/>
  </cols>
  <sheetData>
    <row r="1" spans="1:16" ht="15.75" x14ac:dyDescent="0.25">
      <c r="A1" s="8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50</v>
      </c>
      <c r="K1" s="1" t="s">
        <v>51</v>
      </c>
      <c r="L1" s="1" t="s">
        <v>52</v>
      </c>
      <c r="M1" s="1" t="s">
        <v>63</v>
      </c>
      <c r="N1" s="1" t="s">
        <v>64</v>
      </c>
      <c r="O1" s="1" t="s">
        <v>51</v>
      </c>
      <c r="P1" s="1" t="s">
        <v>51</v>
      </c>
    </row>
    <row r="2" spans="1:16" ht="15" customHeight="1" x14ac:dyDescent="0.25">
      <c r="A2" s="9">
        <v>1001</v>
      </c>
      <c r="B2" s="10" t="s">
        <v>53</v>
      </c>
      <c r="C2" s="10" t="s">
        <v>8</v>
      </c>
      <c r="D2" s="10" t="s">
        <v>10</v>
      </c>
      <c r="E2" s="10" t="s">
        <v>11</v>
      </c>
      <c r="F2" s="11">
        <v>145243561</v>
      </c>
      <c r="G2" s="11">
        <v>217271892</v>
      </c>
      <c r="H2" s="12">
        <v>25026</v>
      </c>
      <c r="I2" s="12">
        <v>17330</v>
      </c>
      <c r="J2" s="24">
        <f t="shared" ref="J2:J11" ca="1" si="0">YEAR(TODAY())-YEAR(H2)</f>
        <v>48</v>
      </c>
      <c r="K2" s="24">
        <f t="shared" ref="K2:K11" ca="1" si="1">YEAR(TODAY())-YEAR(I2)</f>
        <v>69</v>
      </c>
      <c r="L2">
        <f t="shared" ref="L2:L11" si="2">YEAR(H2)-YEAR(I2)</f>
        <v>21</v>
      </c>
      <c r="M2" s="32">
        <f ca="1">IF(J2&gt;=38,50000,IF(J2&gt;=25,15000,5000))</f>
        <v>50000</v>
      </c>
      <c r="N2" t="str">
        <f t="shared" ref="N2:N11" ca="1" si="3">IF(K2&gt;=65,"Reformado!",IF(K2&gt;=50,"Vida complicada","Continua em plena força"))</f>
        <v>Reformado!</v>
      </c>
      <c r="O2" s="14" t="s">
        <v>81</v>
      </c>
      <c r="P2" s="14" t="s">
        <v>82</v>
      </c>
    </row>
    <row r="3" spans="1:16" x14ac:dyDescent="0.25">
      <c r="A3" s="9">
        <v>1008</v>
      </c>
      <c r="B3" s="10" t="s">
        <v>54</v>
      </c>
      <c r="C3" s="10" t="s">
        <v>9</v>
      </c>
      <c r="D3" s="10" t="s">
        <v>10</v>
      </c>
      <c r="E3" s="10" t="s">
        <v>11</v>
      </c>
      <c r="F3" s="11">
        <v>146253463</v>
      </c>
      <c r="G3" s="11">
        <v>217287983</v>
      </c>
      <c r="H3" s="12">
        <v>24691</v>
      </c>
      <c r="I3" s="12">
        <v>16352</v>
      </c>
      <c r="J3" s="24">
        <f t="shared" ca="1" si="0"/>
        <v>49</v>
      </c>
      <c r="K3" s="24">
        <f t="shared" ca="1" si="1"/>
        <v>72</v>
      </c>
      <c r="L3">
        <f t="shared" si="2"/>
        <v>23</v>
      </c>
      <c r="M3" s="32">
        <f t="shared" ref="M3:M11" ca="1" si="4">IF(J3&gt;=38,50000,IF(J3&gt;=25,15000,5000))</f>
        <v>50000</v>
      </c>
      <c r="N3" t="str">
        <f t="shared" ca="1" si="3"/>
        <v>Reformado!</v>
      </c>
    </row>
    <row r="4" spans="1:16" x14ac:dyDescent="0.25">
      <c r="A4" s="13">
        <v>1009</v>
      </c>
      <c r="B4" s="14" t="s">
        <v>55</v>
      </c>
      <c r="C4" s="14" t="s">
        <v>23</v>
      </c>
      <c r="D4" s="14" t="s">
        <v>24</v>
      </c>
      <c r="E4" s="14" t="s">
        <v>34</v>
      </c>
      <c r="F4" s="14">
        <v>145634569</v>
      </c>
      <c r="G4" s="14">
        <v>219314524</v>
      </c>
      <c r="H4" s="15">
        <v>31329</v>
      </c>
      <c r="I4" s="15">
        <v>22257</v>
      </c>
      <c r="J4" s="24">
        <f t="shared" ca="1" si="0"/>
        <v>31</v>
      </c>
      <c r="K4" s="24">
        <f t="shared" ca="1" si="1"/>
        <v>56</v>
      </c>
      <c r="L4">
        <f t="shared" si="2"/>
        <v>25</v>
      </c>
      <c r="M4" s="32">
        <f t="shared" ca="1" si="4"/>
        <v>15000</v>
      </c>
      <c r="N4" t="str">
        <f t="shared" ca="1" si="3"/>
        <v>Vida complicada</v>
      </c>
      <c r="O4" s="29">
        <f ca="1">DAVERAGE(A1:M11,M1,O1:P2)</f>
        <v>11000</v>
      </c>
    </row>
    <row r="5" spans="1:16" x14ac:dyDescent="0.25">
      <c r="A5" s="13">
        <v>1011</v>
      </c>
      <c r="B5" s="14" t="s">
        <v>56</v>
      </c>
      <c r="C5" s="14" t="s">
        <v>25</v>
      </c>
      <c r="D5" s="14" t="s">
        <v>26</v>
      </c>
      <c r="E5" s="14" t="s">
        <v>35</v>
      </c>
      <c r="F5" s="14">
        <v>172679256</v>
      </c>
      <c r="G5" s="14">
        <v>219231442</v>
      </c>
      <c r="H5" s="15">
        <v>27371</v>
      </c>
      <c r="I5" s="15">
        <v>14862</v>
      </c>
      <c r="J5" s="24">
        <f t="shared" ca="1" si="0"/>
        <v>42</v>
      </c>
      <c r="K5" s="24">
        <f t="shared" ca="1" si="1"/>
        <v>76</v>
      </c>
      <c r="L5">
        <f t="shared" si="2"/>
        <v>34</v>
      </c>
      <c r="M5" s="32">
        <f t="shared" ca="1" si="4"/>
        <v>50000</v>
      </c>
      <c r="N5" t="str">
        <f t="shared" ca="1" si="3"/>
        <v>Reformado!</v>
      </c>
      <c r="O5" s="29">
        <f ca="1">DCOUNT(A1:M11,M1,O1:P2)</f>
        <v>5</v>
      </c>
    </row>
    <row r="6" spans="1:16" x14ac:dyDescent="0.25">
      <c r="A6" s="13">
        <v>1014</v>
      </c>
      <c r="B6" s="14" t="s">
        <v>57</v>
      </c>
      <c r="C6" s="14" t="s">
        <v>27</v>
      </c>
      <c r="D6" s="14" t="s">
        <v>26</v>
      </c>
      <c r="E6" s="14" t="s">
        <v>36</v>
      </c>
      <c r="F6" s="14">
        <v>146258360</v>
      </c>
      <c r="G6" s="14">
        <v>217572516</v>
      </c>
      <c r="H6" s="15">
        <v>34675</v>
      </c>
      <c r="I6" s="15">
        <v>25907</v>
      </c>
      <c r="J6" s="24">
        <f t="shared" ca="1" si="0"/>
        <v>22</v>
      </c>
      <c r="K6" s="24">
        <f t="shared" ca="1" si="1"/>
        <v>46</v>
      </c>
      <c r="L6">
        <f t="shared" si="2"/>
        <v>24</v>
      </c>
      <c r="M6" s="32">
        <f t="shared" ca="1" si="4"/>
        <v>5000</v>
      </c>
      <c r="N6" t="str">
        <f t="shared" ca="1" si="3"/>
        <v>Continua em plena força</v>
      </c>
      <c r="O6" s="29" t="e">
        <f ca="1">DGET(A1:M11,M1,O1:P2)</f>
        <v>#NUM!</v>
      </c>
    </row>
    <row r="7" spans="1:16" x14ac:dyDescent="0.25">
      <c r="A7" s="13">
        <v>1020</v>
      </c>
      <c r="B7" s="14" t="s">
        <v>58</v>
      </c>
      <c r="C7" s="14" t="s">
        <v>28</v>
      </c>
      <c r="D7" s="14" t="s">
        <v>24</v>
      </c>
      <c r="E7" s="14" t="s">
        <v>34</v>
      </c>
      <c r="F7" s="14">
        <v>102738516</v>
      </c>
      <c r="G7" s="14">
        <v>219317678</v>
      </c>
      <c r="H7" s="15">
        <v>32055</v>
      </c>
      <c r="I7" s="15">
        <v>13795</v>
      </c>
      <c r="J7" s="24">
        <f t="shared" ca="1" si="0"/>
        <v>29</v>
      </c>
      <c r="K7" s="24">
        <f t="shared" ca="1" si="1"/>
        <v>79</v>
      </c>
      <c r="L7">
        <f t="shared" si="2"/>
        <v>50</v>
      </c>
      <c r="M7" s="32">
        <f t="shared" ca="1" si="4"/>
        <v>15000</v>
      </c>
      <c r="N7" t="str">
        <f t="shared" ca="1" si="3"/>
        <v>Reformado!</v>
      </c>
      <c r="O7" s="29">
        <f ca="1">DMAX(A1:M11,M1,O1:P2)</f>
        <v>15000</v>
      </c>
    </row>
    <row r="8" spans="1:16" x14ac:dyDescent="0.25">
      <c r="A8" s="13">
        <v>1025</v>
      </c>
      <c r="B8" s="14" t="s">
        <v>59</v>
      </c>
      <c r="C8" s="14" t="s">
        <v>29</v>
      </c>
      <c r="D8" s="14" t="s">
        <v>26</v>
      </c>
      <c r="E8" s="14" t="s">
        <v>35</v>
      </c>
      <c r="F8" s="14">
        <v>165102020</v>
      </c>
      <c r="G8" s="14">
        <v>216056897</v>
      </c>
      <c r="H8" s="15">
        <v>32418</v>
      </c>
      <c r="I8" s="15">
        <v>21524</v>
      </c>
      <c r="J8" s="24">
        <f t="shared" ca="1" si="0"/>
        <v>28</v>
      </c>
      <c r="K8" s="24">
        <f t="shared" ca="1" si="1"/>
        <v>58</v>
      </c>
      <c r="L8">
        <f t="shared" si="2"/>
        <v>30</v>
      </c>
      <c r="M8" s="32">
        <f t="shared" ca="1" si="4"/>
        <v>15000</v>
      </c>
      <c r="N8" t="str">
        <f t="shared" ca="1" si="3"/>
        <v>Vida complicada</v>
      </c>
      <c r="O8" s="29">
        <f ca="1">DPRODUCT(A1:M11,M1,O1:P2)</f>
        <v>8.4375E+19</v>
      </c>
    </row>
    <row r="9" spans="1:16" x14ac:dyDescent="0.25">
      <c r="A9" s="13">
        <v>1027</v>
      </c>
      <c r="B9" s="14" t="s">
        <v>60</v>
      </c>
      <c r="C9" s="14" t="s">
        <v>30</v>
      </c>
      <c r="D9" s="14" t="s">
        <v>26</v>
      </c>
      <c r="E9" s="14" t="s">
        <v>37</v>
      </c>
      <c r="F9" s="14">
        <v>156278180</v>
      </c>
      <c r="G9" s="14">
        <v>216092812</v>
      </c>
      <c r="H9" s="15">
        <v>33121</v>
      </c>
      <c r="I9" s="15">
        <v>16783</v>
      </c>
      <c r="J9" s="24">
        <f t="shared" ca="1" si="0"/>
        <v>26</v>
      </c>
      <c r="K9" s="24">
        <f t="shared" ca="1" si="1"/>
        <v>71</v>
      </c>
      <c r="L9">
        <f t="shared" si="2"/>
        <v>45</v>
      </c>
      <c r="M9" s="32">
        <f t="shared" ca="1" si="4"/>
        <v>15000</v>
      </c>
      <c r="N9" t="str">
        <f t="shared" ca="1" si="3"/>
        <v>Reformado!</v>
      </c>
      <c r="O9" s="29">
        <f ca="1">DSUM(A1:M11,M1,O1:P2)</f>
        <v>55000</v>
      </c>
    </row>
    <row r="10" spans="1:16" x14ac:dyDescent="0.25">
      <c r="A10" s="13">
        <v>1029</v>
      </c>
      <c r="B10" s="14" t="s">
        <v>61</v>
      </c>
      <c r="C10" s="14" t="s">
        <v>31</v>
      </c>
      <c r="D10" s="14" t="s">
        <v>32</v>
      </c>
      <c r="E10" s="14" t="s">
        <v>38</v>
      </c>
      <c r="F10" s="14">
        <v>140001016</v>
      </c>
      <c r="G10" s="14">
        <v>214942356</v>
      </c>
      <c r="H10" s="15">
        <v>33429</v>
      </c>
      <c r="I10" s="15">
        <v>25698</v>
      </c>
      <c r="J10" s="24">
        <f t="shared" ca="1" si="0"/>
        <v>25</v>
      </c>
      <c r="K10" s="24">
        <f t="shared" ca="1" si="1"/>
        <v>46</v>
      </c>
      <c r="L10">
        <f t="shared" si="2"/>
        <v>21</v>
      </c>
      <c r="M10" s="32">
        <f t="shared" ca="1" si="4"/>
        <v>15000</v>
      </c>
      <c r="N10" t="str">
        <f t="shared" ca="1" si="3"/>
        <v>Continua em plena força</v>
      </c>
      <c r="O10" s="29">
        <f ca="1">DVAR(A1:M11,M1,O1:P2)</f>
        <v>30000000</v>
      </c>
    </row>
    <row r="11" spans="1:16" x14ac:dyDescent="0.25">
      <c r="A11" s="13">
        <v>1035</v>
      </c>
      <c r="B11" s="14" t="s">
        <v>62</v>
      </c>
      <c r="C11" s="14" t="s">
        <v>33</v>
      </c>
      <c r="D11" s="14" t="s">
        <v>26</v>
      </c>
      <c r="E11" s="14" t="s">
        <v>39</v>
      </c>
      <c r="F11" s="14">
        <v>168245361</v>
      </c>
      <c r="G11" s="14">
        <v>217277821</v>
      </c>
      <c r="H11" s="15">
        <v>33909</v>
      </c>
      <c r="I11" s="15">
        <v>22986</v>
      </c>
      <c r="J11" s="24">
        <f t="shared" ca="1" si="0"/>
        <v>24</v>
      </c>
      <c r="K11" s="24">
        <f t="shared" ca="1" si="1"/>
        <v>54</v>
      </c>
      <c r="L11">
        <f t="shared" si="2"/>
        <v>30</v>
      </c>
      <c r="M11" s="32">
        <f t="shared" ca="1" si="4"/>
        <v>5000</v>
      </c>
      <c r="N11" t="str">
        <f t="shared" ca="1" si="3"/>
        <v>Vida complicada</v>
      </c>
      <c r="O11" s="29">
        <f ca="1">DVARP(A1:M11,M1,O1:P2)</f>
        <v>24000000</v>
      </c>
    </row>
    <row r="13" spans="1:16" x14ac:dyDescent="0.25">
      <c r="F13" s="1" t="s">
        <v>2</v>
      </c>
      <c r="G13" s="1" t="s">
        <v>50</v>
      </c>
      <c r="M13" s="32">
        <f ca="1">SUM(M2:M11)</f>
        <v>235000</v>
      </c>
    </row>
    <row r="14" spans="1:16" x14ac:dyDescent="0.25">
      <c r="F14" t="s">
        <v>26</v>
      </c>
      <c r="G14" t="s">
        <v>533</v>
      </c>
    </row>
    <row r="15" spans="1:16" x14ac:dyDescent="0.25">
      <c r="L15" t="s">
        <v>234</v>
      </c>
      <c r="M15">
        <f ca="1">SUMIF(D2:D11,"Lisboa",M2:M11)</f>
        <v>90000</v>
      </c>
    </row>
    <row r="16" spans="1:16" x14ac:dyDescent="0.25">
      <c r="L16" t="s">
        <v>235</v>
      </c>
      <c r="M16">
        <f ca="1">SUMIF(M2:M11,"&lt;=5000",M2:M11)</f>
        <v>10000</v>
      </c>
    </row>
    <row r="17" spans="1:8" x14ac:dyDescent="0.25">
      <c r="F17" s="1" t="s">
        <v>2</v>
      </c>
      <c r="G17" s="1" t="s">
        <v>51</v>
      </c>
      <c r="H17" s="1" t="s">
        <v>51</v>
      </c>
    </row>
    <row r="18" spans="1:8" x14ac:dyDescent="0.25">
      <c r="F18" t="s">
        <v>24</v>
      </c>
      <c r="G18" t="s">
        <v>79</v>
      </c>
      <c r="H18" t="s">
        <v>80</v>
      </c>
    </row>
    <row r="20" spans="1:8" x14ac:dyDescent="0.25">
      <c r="A20">
        <v>1011</v>
      </c>
    </row>
    <row r="21" spans="1:8" x14ac:dyDescent="0.25">
      <c r="A21">
        <v>1025</v>
      </c>
    </row>
    <row r="22" spans="1:8" x14ac:dyDescent="0.25">
      <c r="A22">
        <v>1009</v>
      </c>
    </row>
    <row r="23" spans="1:8" x14ac:dyDescent="0.25">
      <c r="A23">
        <v>1027</v>
      </c>
    </row>
    <row r="24" spans="1:8" x14ac:dyDescent="0.25">
      <c r="A24">
        <v>1035</v>
      </c>
    </row>
  </sheetData>
  <sortState ref="A2:N11">
    <sortCondition ref="A2"/>
  </sortState>
  <pageMargins left="0.36" right="0.11811023622047245" top="0.74803149606299213" bottom="0.74803149606299213" header="0.31496062992125984" footer="0.31496062992125984"/>
  <pageSetup paperSize="9" scale="74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workbookViewId="0"/>
  </sheetViews>
  <sheetFormatPr defaultRowHeight="15" x14ac:dyDescent="0.25"/>
  <cols>
    <col min="1" max="1" width="8.7109375" customWidth="1"/>
    <col min="2" max="2" width="28.7109375" customWidth="1"/>
    <col min="3" max="3" width="17.28515625" customWidth="1"/>
    <col min="4" max="4" width="11" bestFit="1" customWidth="1"/>
    <col min="5" max="5" width="18.28515625" bestFit="1" customWidth="1"/>
    <col min="6" max="6" width="28" bestFit="1" customWidth="1"/>
    <col min="7" max="7" width="15.140625" customWidth="1"/>
  </cols>
  <sheetData>
    <row r="1" spans="1:7" ht="18.75" x14ac:dyDescent="0.3">
      <c r="A1" s="3" t="s">
        <v>13</v>
      </c>
      <c r="E1" s="5">
        <f>DATE(2016,9,15)</f>
        <v>42628</v>
      </c>
    </row>
    <row r="2" spans="1:7" ht="18.75" x14ac:dyDescent="0.3">
      <c r="A2" s="3"/>
    </row>
    <row r="3" spans="1:7" ht="15.75" x14ac:dyDescent="0.25">
      <c r="A3" s="4" t="s">
        <v>14</v>
      </c>
      <c r="B3" s="4" t="s">
        <v>15</v>
      </c>
      <c r="C3" s="4" t="s">
        <v>16</v>
      </c>
      <c r="D3" s="4" t="s">
        <v>17</v>
      </c>
      <c r="E3" s="4" t="s">
        <v>18</v>
      </c>
      <c r="F3" s="2"/>
    </row>
    <row r="4" spans="1:7" x14ac:dyDescent="0.25">
      <c r="A4" s="16">
        <v>5001</v>
      </c>
      <c r="B4" s="16" t="s">
        <v>19</v>
      </c>
      <c r="C4" s="17">
        <v>41.4</v>
      </c>
      <c r="D4" s="18">
        <v>50</v>
      </c>
      <c r="E4" s="17">
        <f>C4*D4</f>
        <v>2070</v>
      </c>
    </row>
    <row r="5" spans="1:7" x14ac:dyDescent="0.25">
      <c r="A5" s="16">
        <v>5003</v>
      </c>
      <c r="B5" s="16" t="s">
        <v>20</v>
      </c>
      <c r="C5" s="17">
        <v>39.409999999999997</v>
      </c>
      <c r="D5" s="18">
        <v>75</v>
      </c>
      <c r="E5" s="17">
        <f t="shared" ref="E5:E10" si="0">C5*D5</f>
        <v>2955.7499999999995</v>
      </c>
    </row>
    <row r="6" spans="1:7" x14ac:dyDescent="0.25">
      <c r="A6" s="16">
        <v>5005</v>
      </c>
      <c r="B6" s="16" t="s">
        <v>21</v>
      </c>
      <c r="C6" s="17">
        <v>37.409999999999997</v>
      </c>
      <c r="D6" s="18">
        <v>65</v>
      </c>
      <c r="E6" s="17">
        <f t="shared" si="0"/>
        <v>2431.6499999999996</v>
      </c>
    </row>
    <row r="7" spans="1:7" x14ac:dyDescent="0.25">
      <c r="A7" s="19">
        <v>6001</v>
      </c>
      <c r="B7" s="20" t="s">
        <v>40</v>
      </c>
      <c r="C7" s="21">
        <v>27.43</v>
      </c>
      <c r="D7" s="21">
        <v>70</v>
      </c>
      <c r="E7" s="17">
        <f t="shared" si="0"/>
        <v>1920.1</v>
      </c>
    </row>
    <row r="8" spans="1:7" x14ac:dyDescent="0.25">
      <c r="A8" s="19">
        <v>6003</v>
      </c>
      <c r="B8" s="20" t="s">
        <v>41</v>
      </c>
      <c r="C8" s="21">
        <v>27.43</v>
      </c>
      <c r="D8" s="21">
        <v>80</v>
      </c>
      <c r="E8" s="17">
        <f t="shared" si="0"/>
        <v>2194.4</v>
      </c>
    </row>
    <row r="9" spans="1:7" x14ac:dyDescent="0.25">
      <c r="A9" s="19">
        <v>6005</v>
      </c>
      <c r="B9" s="20" t="s">
        <v>42</v>
      </c>
      <c r="C9" s="21">
        <v>27.43</v>
      </c>
      <c r="D9" s="21">
        <v>85</v>
      </c>
      <c r="E9" s="17">
        <f t="shared" si="0"/>
        <v>2331.5500000000002</v>
      </c>
    </row>
    <row r="10" spans="1:7" x14ac:dyDescent="0.25">
      <c r="A10" s="19">
        <v>6007</v>
      </c>
      <c r="B10" s="20" t="s">
        <v>43</v>
      </c>
      <c r="C10" s="21">
        <v>27.43</v>
      </c>
      <c r="D10" s="21">
        <v>89</v>
      </c>
      <c r="E10" s="17">
        <f t="shared" si="0"/>
        <v>2441.27</v>
      </c>
    </row>
    <row r="12" spans="1:7" x14ac:dyDescent="0.25">
      <c r="C12" s="6" t="s">
        <v>22</v>
      </c>
      <c r="D12" s="26">
        <f>D4+D5+D6+D7+D8+D9+D10</f>
        <v>514</v>
      </c>
      <c r="E12" s="7">
        <f>SUM(E4:E10)</f>
        <v>16344.720000000001</v>
      </c>
    </row>
    <row r="14" spans="1:7" ht="15.75" x14ac:dyDescent="0.25">
      <c r="A14" s="85" t="s">
        <v>14</v>
      </c>
      <c r="B14" s="85" t="s">
        <v>15</v>
      </c>
      <c r="C14" s="86" t="s">
        <v>531</v>
      </c>
      <c r="D14" s="86" t="s">
        <v>530</v>
      </c>
      <c r="F14" s="78" t="s">
        <v>525</v>
      </c>
      <c r="G14" t="s">
        <v>532</v>
      </c>
    </row>
    <row r="15" spans="1:7" x14ac:dyDescent="0.25">
      <c r="A15" s="81">
        <v>5001</v>
      </c>
      <c r="B15" s="83" t="s">
        <v>19</v>
      </c>
      <c r="C15">
        <v>1234</v>
      </c>
      <c r="D15">
        <v>8848</v>
      </c>
      <c r="F15" s="79" t="s">
        <v>20</v>
      </c>
      <c r="G15" s="80">
        <v>23064</v>
      </c>
    </row>
    <row r="16" spans="1:7" x14ac:dyDescent="0.25">
      <c r="A16" s="82">
        <v>6001</v>
      </c>
      <c r="B16" s="84" t="s">
        <v>40</v>
      </c>
      <c r="C16">
        <v>1235</v>
      </c>
      <c r="D16">
        <v>8717</v>
      </c>
      <c r="F16" s="79" t="s">
        <v>21</v>
      </c>
      <c r="G16" s="80">
        <v>16861</v>
      </c>
    </row>
    <row r="17" spans="1:7" x14ac:dyDescent="0.25">
      <c r="A17" s="81">
        <v>5005</v>
      </c>
      <c r="B17" s="83" t="s">
        <v>21</v>
      </c>
      <c r="C17">
        <v>1236</v>
      </c>
      <c r="D17">
        <v>9368</v>
      </c>
      <c r="F17" s="79" t="s">
        <v>19</v>
      </c>
      <c r="G17" s="80">
        <v>18393</v>
      </c>
    </row>
    <row r="18" spans="1:7" x14ac:dyDescent="0.25">
      <c r="A18" s="81">
        <v>5003</v>
      </c>
      <c r="B18" s="83" t="s">
        <v>20</v>
      </c>
      <c r="C18">
        <v>1237</v>
      </c>
      <c r="D18">
        <v>5182</v>
      </c>
      <c r="F18" s="79" t="s">
        <v>526</v>
      </c>
      <c r="G18" s="80">
        <v>22272</v>
      </c>
    </row>
    <row r="19" spans="1:7" x14ac:dyDescent="0.25">
      <c r="A19" s="81">
        <v>5005</v>
      </c>
      <c r="B19" s="83" t="s">
        <v>21</v>
      </c>
      <c r="C19">
        <v>1238</v>
      </c>
      <c r="D19">
        <v>7493</v>
      </c>
      <c r="F19" s="79" t="s">
        <v>527</v>
      </c>
      <c r="G19" s="80">
        <v>12994</v>
      </c>
    </row>
    <row r="20" spans="1:7" x14ac:dyDescent="0.25">
      <c r="A20" s="82">
        <v>6001</v>
      </c>
      <c r="B20" s="84" t="s">
        <v>40</v>
      </c>
      <c r="C20">
        <v>1239</v>
      </c>
      <c r="D20">
        <v>6980</v>
      </c>
      <c r="F20" s="79" t="s">
        <v>528</v>
      </c>
      <c r="G20" s="80">
        <v>26711</v>
      </c>
    </row>
    <row r="21" spans="1:7" x14ac:dyDescent="0.25">
      <c r="A21" s="81">
        <v>5003</v>
      </c>
      <c r="B21" s="83" t="s">
        <v>20</v>
      </c>
      <c r="C21">
        <v>1240</v>
      </c>
      <c r="D21">
        <v>9331</v>
      </c>
      <c r="F21" s="79" t="s">
        <v>529</v>
      </c>
      <c r="G21" s="80">
        <v>120295</v>
      </c>
    </row>
    <row r="22" spans="1:7" x14ac:dyDescent="0.25">
      <c r="A22" s="82">
        <v>6003</v>
      </c>
      <c r="B22" s="84" t="s">
        <v>41</v>
      </c>
      <c r="C22">
        <v>1241</v>
      </c>
      <c r="D22">
        <v>9731</v>
      </c>
    </row>
    <row r="23" spans="1:7" x14ac:dyDescent="0.25">
      <c r="A23" s="81">
        <v>5001</v>
      </c>
      <c r="B23" s="83" t="s">
        <v>19</v>
      </c>
      <c r="C23">
        <v>1242</v>
      </c>
      <c r="D23">
        <v>9545</v>
      </c>
    </row>
    <row r="24" spans="1:7" x14ac:dyDescent="0.25">
      <c r="A24" s="82">
        <v>6001</v>
      </c>
      <c r="B24" s="84" t="s">
        <v>40</v>
      </c>
      <c r="C24">
        <v>1243</v>
      </c>
      <c r="D24">
        <v>6575</v>
      </c>
    </row>
    <row r="25" spans="1:7" x14ac:dyDescent="0.25">
      <c r="A25" s="82">
        <v>6007</v>
      </c>
      <c r="B25" s="84" t="s">
        <v>43</v>
      </c>
      <c r="C25">
        <v>1244</v>
      </c>
      <c r="D25">
        <v>7578</v>
      </c>
    </row>
    <row r="26" spans="1:7" x14ac:dyDescent="0.25">
      <c r="A26" s="81">
        <v>5003</v>
      </c>
      <c r="B26" s="83" t="s">
        <v>20</v>
      </c>
      <c r="C26">
        <v>1245</v>
      </c>
      <c r="D26">
        <v>8551</v>
      </c>
    </row>
    <row r="27" spans="1:7" x14ac:dyDescent="0.25">
      <c r="A27" s="82">
        <v>6003</v>
      </c>
      <c r="B27" s="84" t="s">
        <v>41</v>
      </c>
      <c r="C27">
        <v>1246</v>
      </c>
      <c r="D27">
        <v>7815</v>
      </c>
    </row>
    <row r="28" spans="1:7" x14ac:dyDescent="0.25">
      <c r="A28" s="82">
        <v>6003</v>
      </c>
      <c r="B28" s="84" t="s">
        <v>41</v>
      </c>
      <c r="C28">
        <v>1247</v>
      </c>
      <c r="D28">
        <v>9165</v>
      </c>
    </row>
    <row r="29" spans="1:7" x14ac:dyDescent="0.25">
      <c r="A29" s="82">
        <v>6007</v>
      </c>
      <c r="B29" s="84" t="s">
        <v>43</v>
      </c>
      <c r="C29">
        <v>1248</v>
      </c>
      <c r="D29">
        <v>5416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6"/>
  <sheetViews>
    <sheetView zoomScaleNormal="100" workbookViewId="0">
      <selection sqref="A1:C1"/>
    </sheetView>
  </sheetViews>
  <sheetFormatPr defaultRowHeight="15" x14ac:dyDescent="0.25"/>
  <cols>
    <col min="1" max="1" width="28.7109375" bestFit="1" customWidth="1"/>
    <col min="2" max="2" width="14.5703125" customWidth="1"/>
    <col min="3" max="4" width="18.42578125" customWidth="1"/>
    <col min="5" max="5" width="12.28515625" bestFit="1" customWidth="1"/>
  </cols>
  <sheetData>
    <row r="1" spans="1:19" ht="22.5" customHeight="1" thickBot="1" x14ac:dyDescent="0.3">
      <c r="A1" s="87" t="s">
        <v>44</v>
      </c>
      <c r="B1" s="88"/>
      <c r="C1" s="89"/>
      <c r="D1" s="39"/>
    </row>
    <row r="2" spans="1:19" x14ac:dyDescent="0.25">
      <c r="A2" t="s">
        <v>45</v>
      </c>
    </row>
    <row r="4" spans="1:19" x14ac:dyDescent="0.25">
      <c r="A4" t="s">
        <v>46</v>
      </c>
      <c r="B4" t="s">
        <v>48</v>
      </c>
      <c r="C4" t="s">
        <v>47</v>
      </c>
      <c r="E4" t="s">
        <v>49</v>
      </c>
      <c r="F4" t="s">
        <v>47</v>
      </c>
      <c r="G4" t="s">
        <v>231</v>
      </c>
    </row>
    <row r="5" spans="1:19" x14ac:dyDescent="0.25">
      <c r="A5" s="22">
        <v>2002</v>
      </c>
      <c r="B5" s="23" t="str">
        <f>TEXT(A5,0)</f>
        <v>2002</v>
      </c>
      <c r="C5" s="24">
        <v>625300</v>
      </c>
      <c r="D5" s="40">
        <f>C5/C$21</f>
        <v>5.0598536259519593E-2</v>
      </c>
      <c r="E5" s="25">
        <v>125450</v>
      </c>
      <c r="F5" s="24">
        <v>625300</v>
      </c>
      <c r="S5" s="23"/>
    </row>
    <row r="6" spans="1:19" x14ac:dyDescent="0.25">
      <c r="A6" s="22">
        <v>2003</v>
      </c>
      <c r="B6" s="23" t="str">
        <f t="shared" ref="B6:B19" si="0">TEXT(A6,0)</f>
        <v>2003</v>
      </c>
      <c r="C6" s="24">
        <v>637540</v>
      </c>
      <c r="D6" s="40">
        <f t="shared" ref="D6:D19" si="1">C6/C$21</f>
        <v>5.1588982579392484E-2</v>
      </c>
      <c r="E6" s="25">
        <v>65335</v>
      </c>
      <c r="F6" s="24">
        <v>637540</v>
      </c>
      <c r="S6" s="23"/>
    </row>
    <row r="7" spans="1:19" x14ac:dyDescent="0.25">
      <c r="A7" s="22">
        <v>2004</v>
      </c>
      <c r="B7" s="23" t="str">
        <f t="shared" si="0"/>
        <v>2004</v>
      </c>
      <c r="C7" s="24">
        <v>675000</v>
      </c>
      <c r="D7" s="40">
        <f t="shared" si="1"/>
        <v>5.4620201463578641E-2</v>
      </c>
      <c r="E7" s="25">
        <v>90450</v>
      </c>
      <c r="F7" s="24">
        <v>675000</v>
      </c>
      <c r="S7" s="23"/>
    </row>
    <row r="8" spans="1:19" x14ac:dyDescent="0.25">
      <c r="A8" s="22">
        <v>2005</v>
      </c>
      <c r="B8" s="23" t="str">
        <f t="shared" si="0"/>
        <v>2005</v>
      </c>
      <c r="C8" s="24">
        <v>637500</v>
      </c>
      <c r="D8" s="40">
        <f t="shared" si="1"/>
        <v>5.1585745826713165E-2</v>
      </c>
      <c r="E8" s="25">
        <v>135455</v>
      </c>
      <c r="F8" s="24">
        <v>637500</v>
      </c>
      <c r="S8" s="23"/>
    </row>
    <row r="9" spans="1:19" x14ac:dyDescent="0.25">
      <c r="A9" s="22">
        <v>2006</v>
      </c>
      <c r="B9" s="23" t="str">
        <f t="shared" si="0"/>
        <v>2006</v>
      </c>
      <c r="C9" s="24">
        <v>725400</v>
      </c>
      <c r="D9" s="40">
        <f t="shared" si="1"/>
        <v>5.8698509839525848E-2</v>
      </c>
      <c r="E9" s="25">
        <v>140350</v>
      </c>
      <c r="F9" s="24">
        <v>725400</v>
      </c>
      <c r="S9" s="23"/>
    </row>
    <row r="10" spans="1:19" x14ac:dyDescent="0.25">
      <c r="A10" s="22">
        <v>2007</v>
      </c>
      <c r="B10" s="23" t="str">
        <f t="shared" si="0"/>
        <v>2007</v>
      </c>
      <c r="C10" s="24">
        <v>825350</v>
      </c>
      <c r="D10" s="40">
        <f t="shared" si="1"/>
        <v>6.6786345596984639E-2</v>
      </c>
      <c r="E10" s="25">
        <v>125365</v>
      </c>
      <c r="F10" s="24">
        <v>825350</v>
      </c>
      <c r="S10" s="23"/>
    </row>
    <row r="11" spans="1:19" x14ac:dyDescent="0.25">
      <c r="A11" s="22">
        <v>2008</v>
      </c>
      <c r="B11" s="23" t="str">
        <f t="shared" si="0"/>
        <v>2008</v>
      </c>
      <c r="C11" s="24">
        <v>900300</v>
      </c>
      <c r="D11" s="40">
        <f t="shared" si="1"/>
        <v>7.2851210929866447E-2</v>
      </c>
      <c r="E11" s="25">
        <v>162500</v>
      </c>
      <c r="F11" s="24">
        <v>900300</v>
      </c>
      <c r="S11" s="23"/>
    </row>
    <row r="12" spans="1:19" x14ac:dyDescent="0.25">
      <c r="A12" s="22">
        <v>2009</v>
      </c>
      <c r="B12" s="23" t="str">
        <f t="shared" si="0"/>
        <v>2009</v>
      </c>
      <c r="C12" s="24">
        <v>775000</v>
      </c>
      <c r="D12" s="40">
        <f t="shared" si="1"/>
        <v>6.2712083161886589E-2</v>
      </c>
      <c r="E12" s="25">
        <v>67000</v>
      </c>
      <c r="F12" s="24">
        <v>775000</v>
      </c>
      <c r="G12" s="56">
        <v>725000</v>
      </c>
      <c r="S12" s="23"/>
    </row>
    <row r="13" spans="1:19" x14ac:dyDescent="0.25">
      <c r="A13" s="22">
        <v>2010</v>
      </c>
      <c r="B13" s="23" t="str">
        <f t="shared" si="0"/>
        <v>2010</v>
      </c>
      <c r="C13" s="24">
        <v>835000</v>
      </c>
      <c r="D13" s="40">
        <f t="shared" si="1"/>
        <v>6.7567212180871361E-2</v>
      </c>
      <c r="E13" s="25">
        <v>85225</v>
      </c>
      <c r="F13" s="24">
        <v>835000</v>
      </c>
      <c r="G13" s="56">
        <v>692500</v>
      </c>
      <c r="S13" s="23"/>
    </row>
    <row r="14" spans="1:19" x14ac:dyDescent="0.25">
      <c r="A14" s="22">
        <v>2011</v>
      </c>
      <c r="B14" s="23" t="str">
        <f t="shared" si="0"/>
        <v>2011</v>
      </c>
      <c r="C14" s="24">
        <v>885000</v>
      </c>
      <c r="D14" s="40">
        <f t="shared" si="1"/>
        <v>7.1613153030025328E-2</v>
      </c>
      <c r="E14" s="25">
        <v>90330</v>
      </c>
      <c r="F14" s="24">
        <v>885000</v>
      </c>
      <c r="G14" s="56">
        <v>676000</v>
      </c>
      <c r="S14" s="23"/>
    </row>
    <row r="15" spans="1:19" x14ac:dyDescent="0.25">
      <c r="A15" s="22">
        <v>2012</v>
      </c>
      <c r="B15" s="23" t="str">
        <f t="shared" si="0"/>
        <v>2012</v>
      </c>
      <c r="C15" s="24">
        <v>990375</v>
      </c>
      <c r="D15" s="40">
        <f t="shared" si="1"/>
        <v>8.0139973369617326E-2</v>
      </c>
      <c r="E15" s="25">
        <v>122725</v>
      </c>
      <c r="F15" s="24">
        <v>990375</v>
      </c>
      <c r="G15" s="56">
        <v>706895</v>
      </c>
      <c r="S15" s="23"/>
    </row>
    <row r="16" spans="1:19" x14ac:dyDescent="0.25">
      <c r="A16" s="22">
        <v>2013</v>
      </c>
      <c r="B16" s="23" t="str">
        <f t="shared" si="0"/>
        <v>2013</v>
      </c>
      <c r="C16" s="24">
        <v>976000</v>
      </c>
      <c r="D16" s="40">
        <f t="shared" si="1"/>
        <v>7.8976765375485564E-2</v>
      </c>
      <c r="E16" s="25">
        <v>131710</v>
      </c>
      <c r="F16" s="24">
        <v>976000</v>
      </c>
      <c r="G16" s="56">
        <v>621500</v>
      </c>
      <c r="S16" s="23"/>
    </row>
    <row r="17" spans="1:19" x14ac:dyDescent="0.25">
      <c r="A17" s="22">
        <v>2014</v>
      </c>
      <c r="B17" s="23" t="str">
        <f t="shared" si="0"/>
        <v>2014</v>
      </c>
      <c r="C17" s="24">
        <v>960200</v>
      </c>
      <c r="D17" s="40">
        <f t="shared" si="1"/>
        <v>7.7698248067152906E-2</v>
      </c>
      <c r="E17" s="25">
        <v>126730</v>
      </c>
      <c r="F17" s="24">
        <v>960200</v>
      </c>
      <c r="G17" s="56">
        <v>626750</v>
      </c>
      <c r="S17" s="23"/>
    </row>
    <row r="18" spans="1:19" x14ac:dyDescent="0.25">
      <c r="A18" s="22">
        <v>2015</v>
      </c>
      <c r="B18" s="23" t="str">
        <f t="shared" si="0"/>
        <v>2015</v>
      </c>
      <c r="C18" s="24">
        <v>935100</v>
      </c>
      <c r="D18" s="40">
        <f t="shared" si="1"/>
        <v>7.5667185760877609E-2</v>
      </c>
      <c r="E18" s="25">
        <v>124905</v>
      </c>
      <c r="F18" s="24">
        <v>935100</v>
      </c>
      <c r="G18" s="56">
        <v>638250</v>
      </c>
      <c r="S18" s="23"/>
    </row>
    <row r="19" spans="1:19" x14ac:dyDescent="0.25">
      <c r="A19" s="22">
        <v>2016</v>
      </c>
      <c r="B19" s="23" t="str">
        <f t="shared" si="0"/>
        <v>2016</v>
      </c>
      <c r="C19" s="24">
        <v>975000</v>
      </c>
      <c r="D19" s="40">
        <f t="shared" si="1"/>
        <v>7.8895846558502486E-2</v>
      </c>
      <c r="E19" s="25">
        <v>133725</v>
      </c>
      <c r="F19" s="24">
        <v>975000</v>
      </c>
      <c r="G19" s="56">
        <v>636250</v>
      </c>
      <c r="S19" s="23"/>
    </row>
    <row r="21" spans="1:19" x14ac:dyDescent="0.25">
      <c r="C21">
        <f>SUM(C5:C19)</f>
        <v>12358065</v>
      </c>
    </row>
    <row r="22" spans="1:19" ht="15.75" thickBot="1" x14ac:dyDescent="0.3"/>
    <row r="23" spans="1:19" x14ac:dyDescent="0.25">
      <c r="A23" s="43" t="s">
        <v>47</v>
      </c>
      <c r="B23" s="43"/>
    </row>
    <row r="24" spans="1:19" x14ac:dyDescent="0.25">
      <c r="A24" s="41"/>
      <c r="B24" s="41"/>
    </row>
    <row r="25" spans="1:19" x14ac:dyDescent="0.25">
      <c r="A25" s="41" t="s">
        <v>83</v>
      </c>
      <c r="B25" s="41">
        <v>823871</v>
      </c>
    </row>
    <row r="26" spans="1:19" x14ac:dyDescent="0.25">
      <c r="A26" s="41" t="s">
        <v>84</v>
      </c>
      <c r="B26" s="44">
        <v>35016.988061578937</v>
      </c>
    </row>
    <row r="27" spans="1:19" x14ac:dyDescent="0.25">
      <c r="A27" s="41" t="s">
        <v>85</v>
      </c>
      <c r="B27" s="41">
        <v>835000</v>
      </c>
    </row>
    <row r="28" spans="1:19" x14ac:dyDescent="0.25">
      <c r="A28" s="41" t="s">
        <v>86</v>
      </c>
      <c r="B28" s="41" t="e">
        <v>#N/A</v>
      </c>
    </row>
    <row r="29" spans="1:19" x14ac:dyDescent="0.25">
      <c r="A29" s="41" t="s">
        <v>87</v>
      </c>
      <c r="B29" s="41">
        <v>135620.21159683916</v>
      </c>
    </row>
    <row r="30" spans="1:19" x14ac:dyDescent="0.25">
      <c r="A30" s="41" t="s">
        <v>88</v>
      </c>
      <c r="B30" s="41">
        <v>18392841793.57143</v>
      </c>
    </row>
    <row r="31" spans="1:19" x14ac:dyDescent="0.25">
      <c r="A31" s="41" t="s">
        <v>89</v>
      </c>
      <c r="B31" s="41">
        <v>-1.5181298055126526</v>
      </c>
    </row>
    <row r="32" spans="1:19" x14ac:dyDescent="0.25">
      <c r="A32" s="41" t="s">
        <v>90</v>
      </c>
      <c r="B32" s="41">
        <v>-0.29632747387735026</v>
      </c>
    </row>
    <row r="33" spans="1:2" x14ac:dyDescent="0.25">
      <c r="A33" s="41" t="s">
        <v>91</v>
      </c>
      <c r="B33" s="41">
        <v>365075</v>
      </c>
    </row>
    <row r="34" spans="1:2" x14ac:dyDescent="0.25">
      <c r="A34" s="41" t="s">
        <v>92</v>
      </c>
      <c r="B34" s="41">
        <v>625300</v>
      </c>
    </row>
    <row r="35" spans="1:2" x14ac:dyDescent="0.25">
      <c r="A35" s="41" t="s">
        <v>93</v>
      </c>
      <c r="B35" s="41">
        <v>990375</v>
      </c>
    </row>
    <row r="36" spans="1:2" x14ac:dyDescent="0.25">
      <c r="A36" s="41" t="s">
        <v>94</v>
      </c>
      <c r="B36" s="41">
        <v>12358065</v>
      </c>
    </row>
    <row r="37" spans="1:2" x14ac:dyDescent="0.25">
      <c r="A37" s="41" t="s">
        <v>95</v>
      </c>
      <c r="B37" s="41">
        <v>15</v>
      </c>
    </row>
    <row r="38" spans="1:2" x14ac:dyDescent="0.25">
      <c r="A38" s="41" t="s">
        <v>96</v>
      </c>
      <c r="B38" s="41">
        <v>975000</v>
      </c>
    </row>
    <row r="39" spans="1:2" x14ac:dyDescent="0.25">
      <c r="A39" s="41" t="s">
        <v>97</v>
      </c>
      <c r="B39" s="41">
        <v>675000</v>
      </c>
    </row>
    <row r="40" spans="1:2" ht="15.75" thickBot="1" x14ac:dyDescent="0.3">
      <c r="A40" s="42" t="s">
        <v>98</v>
      </c>
      <c r="B40" s="42">
        <v>75103.969845451153</v>
      </c>
    </row>
    <row r="42" spans="1:2" x14ac:dyDescent="0.25">
      <c r="A42" t="s">
        <v>99</v>
      </c>
      <c r="B42">
        <f>AVERAGE(C5:C19)</f>
        <v>823871</v>
      </c>
    </row>
    <row r="43" spans="1:2" x14ac:dyDescent="0.25">
      <c r="A43" t="s">
        <v>100</v>
      </c>
      <c r="B43">
        <f>GEOMEAN(C5:C19)</f>
        <v>813003.73295914999</v>
      </c>
    </row>
    <row r="44" spans="1:2" x14ac:dyDescent="0.25">
      <c r="A44" t="s">
        <v>101</v>
      </c>
      <c r="B44">
        <f>HARMEAN(C5:C19)</f>
        <v>801819.90430710115</v>
      </c>
    </row>
    <row r="45" spans="1:2" x14ac:dyDescent="0.25">
      <c r="A45" t="s">
        <v>85</v>
      </c>
      <c r="B45">
        <f>MEDIAN(C5:C19)</f>
        <v>835000</v>
      </c>
    </row>
    <row r="46" spans="1:2" x14ac:dyDescent="0.25">
      <c r="A46" t="s">
        <v>86</v>
      </c>
      <c r="B46" t="e">
        <f>MODE(C5:C19)</f>
        <v>#N/A</v>
      </c>
    </row>
    <row r="47" spans="1:2" x14ac:dyDescent="0.25">
      <c r="A47" t="s">
        <v>102</v>
      </c>
      <c r="B47">
        <f>VARP(C5:C19)</f>
        <v>17166652340.666666</v>
      </c>
    </row>
    <row r="48" spans="1:2" x14ac:dyDescent="0.25">
      <c r="A48" t="s">
        <v>103</v>
      </c>
      <c r="B48">
        <f>VAR(C5:C19)</f>
        <v>18392841793.57143</v>
      </c>
    </row>
    <row r="49" spans="1:2" x14ac:dyDescent="0.25">
      <c r="A49" t="s">
        <v>87</v>
      </c>
      <c r="B49">
        <f>STDEVP(C5:C19)</f>
        <v>131021.57204318175</v>
      </c>
    </row>
    <row r="50" spans="1:2" x14ac:dyDescent="0.25">
      <c r="A50" t="s">
        <v>104</v>
      </c>
      <c r="B50">
        <f>STDEV(C5:C19)</f>
        <v>135620.21159683916</v>
      </c>
    </row>
    <row r="51" spans="1:2" x14ac:dyDescent="0.25">
      <c r="A51" t="s">
        <v>105</v>
      </c>
      <c r="B51">
        <f>(B49/B42)*100</f>
        <v>15.903165913496379</v>
      </c>
    </row>
    <row r="52" spans="1:2" x14ac:dyDescent="0.25">
      <c r="A52" t="s">
        <v>106</v>
      </c>
      <c r="B52">
        <f>DEVSQ(C5:C19)</f>
        <v>257499785110</v>
      </c>
    </row>
    <row r="53" spans="1:2" x14ac:dyDescent="0.25">
      <c r="A53" t="s">
        <v>107</v>
      </c>
      <c r="B53">
        <f>AVEDEV(C5:C19)</f>
        <v>115664.8</v>
      </c>
    </row>
    <row r="55" spans="1:2" x14ac:dyDescent="0.25">
      <c r="A55" t="s">
        <v>108</v>
      </c>
      <c r="B55">
        <f>KURT(C5:C19)</f>
        <v>-1.5181298055126526</v>
      </c>
    </row>
    <row r="56" spans="1:2" x14ac:dyDescent="0.25">
      <c r="A56" t="s">
        <v>109</v>
      </c>
      <c r="B56">
        <f>SKEW(C5:C19)</f>
        <v>-0.29632747387735026</v>
      </c>
    </row>
    <row r="57" spans="1:2" x14ac:dyDescent="0.25">
      <c r="A57" t="s">
        <v>110</v>
      </c>
      <c r="B57">
        <f>MIN(C5:C19)</f>
        <v>625300</v>
      </c>
    </row>
    <row r="58" spans="1:2" x14ac:dyDescent="0.25">
      <c r="A58" t="s">
        <v>111</v>
      </c>
      <c r="B58">
        <f>MAX(C5:C19)</f>
        <v>990375</v>
      </c>
    </row>
    <row r="59" spans="1:2" x14ac:dyDescent="0.25">
      <c r="A59" t="s">
        <v>112</v>
      </c>
      <c r="B59">
        <f>LARGE(C5:C19, 5)</f>
        <v>935100</v>
      </c>
    </row>
    <row r="60" spans="1:2" x14ac:dyDescent="0.25">
      <c r="A60" t="s">
        <v>113</v>
      </c>
      <c r="B60">
        <f>SMALL(C5:C19, 2)</f>
        <v>637500</v>
      </c>
    </row>
    <row r="61" spans="1:2" x14ac:dyDescent="0.25">
      <c r="A61" t="s">
        <v>114</v>
      </c>
      <c r="B61">
        <f>COUNT(C5:C19)</f>
        <v>15</v>
      </c>
    </row>
    <row r="62" spans="1:2" ht="15.75" thickBot="1" x14ac:dyDescent="0.3">
      <c r="A62" s="45" t="s">
        <v>115</v>
      </c>
      <c r="B62" s="46">
        <f>COUNTA(C5:C19)</f>
        <v>15</v>
      </c>
    </row>
    <row r="63" spans="1:2" x14ac:dyDescent="0.25">
      <c r="A63" t="s">
        <v>116</v>
      </c>
      <c r="B63">
        <f>CONFIDENCE(1-0.95, B50, B61)</f>
        <v>68632.035447763745</v>
      </c>
    </row>
    <row r="65" spans="1:3" x14ac:dyDescent="0.25">
      <c r="B65">
        <v>650000</v>
      </c>
      <c r="C65">
        <f t="array" ref="C65:C68">FREQUENCY(C5:C19,B65:B67)</f>
        <v>3</v>
      </c>
    </row>
    <row r="66" spans="1:3" x14ac:dyDescent="0.25">
      <c r="B66">
        <v>800000</v>
      </c>
      <c r="C66">
        <v>3</v>
      </c>
    </row>
    <row r="67" spans="1:3" x14ac:dyDescent="0.25">
      <c r="B67">
        <v>950000</v>
      </c>
      <c r="C67">
        <v>5</v>
      </c>
    </row>
    <row r="68" spans="1:3" x14ac:dyDescent="0.25">
      <c r="C68">
        <v>4</v>
      </c>
    </row>
    <row r="69" spans="1:3" x14ac:dyDescent="0.25">
      <c r="A69" t="s">
        <v>117</v>
      </c>
      <c r="B69">
        <f>QUARTILE(C5:C19, 1)</f>
        <v>700200</v>
      </c>
    </row>
    <row r="70" spans="1:3" x14ac:dyDescent="0.25">
      <c r="A70" t="s">
        <v>118</v>
      </c>
      <c r="B70">
        <f>QUARTILE(C5:C19, 2)</f>
        <v>835000</v>
      </c>
    </row>
    <row r="71" spans="1:3" x14ac:dyDescent="0.25">
      <c r="A71" t="s">
        <v>119</v>
      </c>
      <c r="B71">
        <f>QUARTILE(C5:C19, 3)</f>
        <v>947650</v>
      </c>
    </row>
    <row r="72" spans="1:3" x14ac:dyDescent="0.25">
      <c r="A72" t="s">
        <v>120</v>
      </c>
      <c r="B72">
        <f>QUARTILE(C5:C19, 4)</f>
        <v>990375</v>
      </c>
    </row>
    <row r="73" spans="1:3" x14ac:dyDescent="0.25">
      <c r="A73" t="s">
        <v>121</v>
      </c>
      <c r="B73">
        <f>PERCENTILE(C5:C19, 0.23)</f>
        <v>686088</v>
      </c>
    </row>
    <row r="74" spans="1:3" x14ac:dyDescent="0.25">
      <c r="A74" t="s">
        <v>122</v>
      </c>
      <c r="B74">
        <f>PERCENTILE(C5:C19, 0.5)</f>
        <v>835000</v>
      </c>
    </row>
    <row r="75" spans="1:3" x14ac:dyDescent="0.25">
      <c r="A75" t="s">
        <v>123</v>
      </c>
      <c r="B75">
        <f>PERCENTILE(C5:C19, 0.88)</f>
        <v>975320</v>
      </c>
    </row>
    <row r="76" spans="1:3" x14ac:dyDescent="0.25">
      <c r="A76" t="s">
        <v>124</v>
      </c>
      <c r="B76">
        <f>PERCENTILE(C5:C19, 0.1)</f>
        <v>637516</v>
      </c>
    </row>
    <row r="77" spans="1:3" x14ac:dyDescent="0.25">
      <c r="A77" t="s">
        <v>125</v>
      </c>
      <c r="B77">
        <f>PERCENTILE(C5:C19, 0.3)</f>
        <v>735320</v>
      </c>
    </row>
    <row r="79" spans="1:3" x14ac:dyDescent="0.25">
      <c r="A79" t="s">
        <v>126</v>
      </c>
    </row>
    <row r="80" spans="1:3" x14ac:dyDescent="0.25">
      <c r="A80">
        <v>650000</v>
      </c>
    </row>
    <row r="81" spans="1:2" x14ac:dyDescent="0.25">
      <c r="A81">
        <v>800000</v>
      </c>
    </row>
    <row r="82" spans="1:2" x14ac:dyDescent="0.25">
      <c r="A82">
        <v>950000</v>
      </c>
    </row>
    <row r="83" spans="1:2" ht="15.75" thickBot="1" x14ac:dyDescent="0.3"/>
    <row r="84" spans="1:2" x14ac:dyDescent="0.25">
      <c r="A84" s="49" t="s">
        <v>126</v>
      </c>
      <c r="B84" s="49" t="s">
        <v>128</v>
      </c>
    </row>
    <row r="85" spans="1:2" x14ac:dyDescent="0.25">
      <c r="A85" s="47">
        <v>650000</v>
      </c>
      <c r="B85" s="41">
        <v>3</v>
      </c>
    </row>
    <row r="86" spans="1:2" x14ac:dyDescent="0.25">
      <c r="A86" s="47">
        <v>800000</v>
      </c>
      <c r="B86" s="41">
        <v>3</v>
      </c>
    </row>
    <row r="87" spans="1:2" x14ac:dyDescent="0.25">
      <c r="A87" s="47">
        <v>950000</v>
      </c>
      <c r="B87" s="41">
        <v>5</v>
      </c>
    </row>
    <row r="88" spans="1:2" ht="15.75" thickBot="1" x14ac:dyDescent="0.3">
      <c r="A88" s="42" t="s">
        <v>127</v>
      </c>
      <c r="B88" s="42">
        <v>4</v>
      </c>
    </row>
    <row r="95" spans="1:2" x14ac:dyDescent="0.25">
      <c r="A95" t="s">
        <v>214</v>
      </c>
      <c r="B95">
        <f>_xlfn.COVARIANCE.P(C5:C19,E5:E19)</f>
        <v>1202437028</v>
      </c>
    </row>
    <row r="96" spans="1:2" ht="15.75" thickBot="1" x14ac:dyDescent="0.3"/>
    <row r="97" spans="1:3" x14ac:dyDescent="0.25">
      <c r="A97" s="49"/>
      <c r="B97" s="49" t="s">
        <v>49</v>
      </c>
      <c r="C97" s="49" t="s">
        <v>47</v>
      </c>
    </row>
    <row r="98" spans="1:3" x14ac:dyDescent="0.25">
      <c r="A98" s="41" t="s">
        <v>49</v>
      </c>
      <c r="B98" s="41">
        <f>VARP(Vendas!$E$5:$E$19)</f>
        <v>755151851.55555558</v>
      </c>
      <c r="C98" s="41"/>
    </row>
    <row r="99" spans="1:3" ht="15.75" thickBot="1" x14ac:dyDescent="0.3">
      <c r="A99" s="42" t="s">
        <v>47</v>
      </c>
      <c r="B99" s="42">
        <v>1202437028</v>
      </c>
      <c r="C99" s="42">
        <f>VARP(Vendas!$F$5:$F$19)</f>
        <v>17166652340.666666</v>
      </c>
    </row>
    <row r="101" spans="1:3" x14ac:dyDescent="0.25">
      <c r="A101" t="s">
        <v>215</v>
      </c>
      <c r="B101">
        <f>CORREL(D5:D19, E5:E19)</f>
        <v>0.33396610367941398</v>
      </c>
    </row>
    <row r="102" spans="1:3" ht="15.75" thickBot="1" x14ac:dyDescent="0.3"/>
    <row r="103" spans="1:3" x14ac:dyDescent="0.25">
      <c r="A103" s="49"/>
      <c r="B103" s="49" t="s">
        <v>49</v>
      </c>
      <c r="C103" s="49" t="s">
        <v>47</v>
      </c>
    </row>
    <row r="104" spans="1:3" x14ac:dyDescent="0.25">
      <c r="A104" s="41" t="s">
        <v>49</v>
      </c>
      <c r="B104" s="41">
        <v>1</v>
      </c>
      <c r="C104" s="41"/>
    </row>
    <row r="105" spans="1:3" ht="15.75" thickBot="1" x14ac:dyDescent="0.3">
      <c r="A105" s="42" t="s">
        <v>47</v>
      </c>
      <c r="B105" s="42">
        <v>0.33396610367941387</v>
      </c>
      <c r="C105" s="42">
        <v>1</v>
      </c>
    </row>
    <row r="108" spans="1:3" x14ac:dyDescent="0.25">
      <c r="A108" t="s">
        <v>216</v>
      </c>
    </row>
    <row r="109" spans="1:3" ht="15.75" thickBot="1" x14ac:dyDescent="0.3"/>
    <row r="110" spans="1:3" x14ac:dyDescent="0.25">
      <c r="A110" s="43" t="s">
        <v>217</v>
      </c>
      <c r="B110" s="43"/>
    </row>
    <row r="111" spans="1:3" x14ac:dyDescent="0.25">
      <c r="A111" s="41" t="s">
        <v>218</v>
      </c>
      <c r="B111" s="41">
        <v>0.33396610367941354</v>
      </c>
    </row>
    <row r="112" spans="1:3" x14ac:dyDescent="0.25">
      <c r="A112" s="41" t="s">
        <v>219</v>
      </c>
      <c r="B112" s="41">
        <v>0.11153335840680881</v>
      </c>
    </row>
    <row r="113" spans="1:9" x14ac:dyDescent="0.25">
      <c r="A113" s="41" t="s">
        <v>220</v>
      </c>
      <c r="B113" s="41">
        <v>4.3189770591947951E-2</v>
      </c>
    </row>
    <row r="114" spans="1:9" x14ac:dyDescent="0.25">
      <c r="A114" s="41" t="s">
        <v>84</v>
      </c>
      <c r="B114" s="41">
        <v>27823.49372751611</v>
      </c>
    </row>
    <row r="115" spans="1:9" ht="15.75" thickBot="1" x14ac:dyDescent="0.3">
      <c r="A115" s="42" t="s">
        <v>171</v>
      </c>
      <c r="B115" s="42">
        <v>15</v>
      </c>
    </row>
    <row r="117" spans="1:9" ht="15.75" thickBot="1" x14ac:dyDescent="0.3">
      <c r="A117" t="s">
        <v>187</v>
      </c>
    </row>
    <row r="118" spans="1:9" x14ac:dyDescent="0.25">
      <c r="A118" s="49"/>
      <c r="B118" s="49" t="s">
        <v>174</v>
      </c>
      <c r="C118" s="49" t="s">
        <v>189</v>
      </c>
      <c r="D118" s="49" t="s">
        <v>190</v>
      </c>
      <c r="E118" s="49" t="s">
        <v>180</v>
      </c>
      <c r="F118" s="49" t="s">
        <v>224</v>
      </c>
    </row>
    <row r="119" spans="1:9" x14ac:dyDescent="0.25">
      <c r="A119" s="41" t="s">
        <v>221</v>
      </c>
      <c r="B119" s="41">
        <v>1</v>
      </c>
      <c r="C119" s="41">
        <v>1263369331.666666</v>
      </c>
      <c r="D119" s="41">
        <v>1263369331.666666</v>
      </c>
      <c r="E119" s="41">
        <v>1.631950589262986</v>
      </c>
      <c r="F119" s="41">
        <v>0.2237766645010093</v>
      </c>
    </row>
    <row r="120" spans="1:9" x14ac:dyDescent="0.25">
      <c r="A120" s="41" t="s">
        <v>222</v>
      </c>
      <c r="B120" s="41">
        <v>13</v>
      </c>
      <c r="C120" s="41">
        <v>10063908441.666668</v>
      </c>
      <c r="D120" s="41">
        <v>774146803.20512831</v>
      </c>
      <c r="E120" s="41"/>
      <c r="F120" s="41"/>
    </row>
    <row r="121" spans="1:9" ht="15.75" thickBot="1" x14ac:dyDescent="0.3">
      <c r="A121" s="42" t="s">
        <v>195</v>
      </c>
      <c r="B121" s="42">
        <v>14</v>
      </c>
      <c r="C121" s="42">
        <v>11327277773.333334</v>
      </c>
      <c r="D121" s="42"/>
      <c r="E121" s="42"/>
      <c r="F121" s="42"/>
    </row>
    <row r="122" spans="1:9" ht="15.75" thickBot="1" x14ac:dyDescent="0.3"/>
    <row r="123" spans="1:9" x14ac:dyDescent="0.25">
      <c r="A123" s="49"/>
      <c r="B123" s="49" t="s">
        <v>225</v>
      </c>
      <c r="C123" s="49" t="s">
        <v>84</v>
      </c>
      <c r="D123" s="49" t="s">
        <v>175</v>
      </c>
      <c r="E123" s="49" t="s">
        <v>191</v>
      </c>
      <c r="F123" s="49" t="s">
        <v>226</v>
      </c>
      <c r="G123" s="49" t="s">
        <v>227</v>
      </c>
      <c r="H123" s="49" t="s">
        <v>228</v>
      </c>
      <c r="I123" s="49" t="s">
        <v>229</v>
      </c>
    </row>
    <row r="124" spans="1:9" x14ac:dyDescent="0.25">
      <c r="A124" s="41" t="s">
        <v>223</v>
      </c>
      <c r="B124" s="41">
        <v>57442.343619544052</v>
      </c>
      <c r="C124" s="41">
        <v>45741.039504563247</v>
      </c>
      <c r="D124" s="41">
        <v>1.2558163137900147</v>
      </c>
      <c r="E124" s="41">
        <v>0.23128454874944174</v>
      </c>
      <c r="F124" s="41">
        <v>-41375.164440140776</v>
      </c>
      <c r="G124" s="41">
        <v>156259.85167922889</v>
      </c>
      <c r="H124" s="41">
        <v>-41375.164440140776</v>
      </c>
      <c r="I124" s="41">
        <v>156259.85167922889</v>
      </c>
    </row>
    <row r="125" spans="1:9" ht="15.75" thickBot="1" x14ac:dyDescent="0.3">
      <c r="A125" s="42" t="s">
        <v>47</v>
      </c>
      <c r="B125" s="42">
        <v>7.004493387167321E-2</v>
      </c>
      <c r="C125" s="42">
        <v>5.4830628859834474E-2</v>
      </c>
      <c r="D125" s="42">
        <v>1.2774782147899784</v>
      </c>
      <c r="E125" s="42">
        <v>0.22377666450100892</v>
      </c>
      <c r="F125" s="42">
        <v>-4.8409438131257421E-2</v>
      </c>
      <c r="G125" s="42">
        <v>0.18849930587460384</v>
      </c>
      <c r="H125" s="42">
        <v>-4.8409438131257421E-2</v>
      </c>
      <c r="I125" s="42">
        <v>0.18849930587460384</v>
      </c>
    </row>
    <row r="127" spans="1:9" x14ac:dyDescent="0.25">
      <c r="A127" t="s">
        <v>216</v>
      </c>
    </row>
    <row r="128" spans="1:9" ht="15.75" thickBot="1" x14ac:dyDescent="0.3"/>
    <row r="129" spans="1:9" x14ac:dyDescent="0.25">
      <c r="A129" s="43" t="s">
        <v>217</v>
      </c>
      <c r="B129" s="43"/>
    </row>
    <row r="130" spans="1:9" x14ac:dyDescent="0.25">
      <c r="A130" s="41" t="s">
        <v>218</v>
      </c>
      <c r="B130" s="41">
        <v>0.96231873112726907</v>
      </c>
    </row>
    <row r="131" spans="1:9" x14ac:dyDescent="0.25">
      <c r="A131" s="41" t="s">
        <v>219</v>
      </c>
      <c r="B131" s="41">
        <v>0.92605734027839715</v>
      </c>
    </row>
    <row r="132" spans="1:9" x14ac:dyDescent="0.25">
      <c r="A132" s="41" t="s">
        <v>220</v>
      </c>
      <c r="B132" s="41">
        <v>0.91373356365812997</v>
      </c>
    </row>
    <row r="133" spans="1:9" x14ac:dyDescent="0.25">
      <c r="A133" s="41" t="s">
        <v>84</v>
      </c>
      <c r="B133" s="41">
        <v>7485.8956551913952</v>
      </c>
    </row>
    <row r="134" spans="1:9" ht="15.75" thickBot="1" x14ac:dyDescent="0.3">
      <c r="A134" s="42" t="s">
        <v>171</v>
      </c>
      <c r="B134" s="42">
        <v>8</v>
      </c>
    </row>
    <row r="136" spans="1:9" ht="15.75" thickBot="1" x14ac:dyDescent="0.3">
      <c r="A136" t="s">
        <v>187</v>
      </c>
    </row>
    <row r="137" spans="1:9" x14ac:dyDescent="0.25">
      <c r="A137" s="49"/>
      <c r="B137" s="49" t="s">
        <v>174</v>
      </c>
      <c r="C137" s="49" t="s">
        <v>189</v>
      </c>
      <c r="D137" s="49" t="s">
        <v>190</v>
      </c>
      <c r="E137" s="49" t="s">
        <v>180</v>
      </c>
      <c r="F137" s="49" t="s">
        <v>224</v>
      </c>
    </row>
    <row r="138" spans="1:9" x14ac:dyDescent="0.25">
      <c r="A138" s="41" t="s">
        <v>221</v>
      </c>
      <c r="B138" s="41">
        <v>1</v>
      </c>
      <c r="C138" s="41">
        <v>4210964684.9375196</v>
      </c>
      <c r="D138" s="41">
        <v>4210964684.9375196</v>
      </c>
      <c r="E138" s="41">
        <v>75.143956987620442</v>
      </c>
      <c r="F138" s="41">
        <v>1.3000540125053891E-4</v>
      </c>
    </row>
    <row r="139" spans="1:9" x14ac:dyDescent="0.25">
      <c r="A139" s="41" t="s">
        <v>222</v>
      </c>
      <c r="B139" s="41">
        <v>6</v>
      </c>
      <c r="C139" s="41">
        <v>336231802.56248045</v>
      </c>
      <c r="D139" s="41">
        <v>56038633.760413408</v>
      </c>
      <c r="E139" s="41"/>
      <c r="F139" s="41"/>
    </row>
    <row r="140" spans="1:9" ht="15.75" thickBot="1" x14ac:dyDescent="0.3">
      <c r="A140" s="42" t="s">
        <v>195</v>
      </c>
      <c r="B140" s="42">
        <v>7</v>
      </c>
      <c r="C140" s="42">
        <v>4547196487.5</v>
      </c>
      <c r="D140" s="42"/>
      <c r="E140" s="42"/>
      <c r="F140" s="42"/>
    </row>
    <row r="141" spans="1:9" ht="15.75" thickBot="1" x14ac:dyDescent="0.3"/>
    <row r="142" spans="1:9" x14ac:dyDescent="0.25">
      <c r="A142" s="49"/>
      <c r="B142" s="49" t="s">
        <v>225</v>
      </c>
      <c r="C142" s="49" t="s">
        <v>84</v>
      </c>
      <c r="D142" s="49" t="s">
        <v>175</v>
      </c>
      <c r="E142" s="49" t="s">
        <v>191</v>
      </c>
      <c r="F142" s="49" t="s">
        <v>226</v>
      </c>
      <c r="G142" s="49" t="s">
        <v>227</v>
      </c>
      <c r="H142" s="49" t="s">
        <v>228</v>
      </c>
      <c r="I142" s="49" t="s">
        <v>229</v>
      </c>
    </row>
    <row r="143" spans="1:9" x14ac:dyDescent="0.25">
      <c r="A143" s="41" t="s">
        <v>223</v>
      </c>
      <c r="B143" s="41">
        <v>-178752.64676879265</v>
      </c>
      <c r="C143" s="41">
        <v>33449.090669192999</v>
      </c>
      <c r="D143" s="41">
        <v>-5.3440211136569378</v>
      </c>
      <c r="E143" s="41">
        <v>1.7545583915591664E-3</v>
      </c>
      <c r="F143" s="41">
        <v>-260599.62313726364</v>
      </c>
      <c r="G143" s="41">
        <v>-96905.670400321673</v>
      </c>
      <c r="H143" s="41">
        <v>-260599.62313726364</v>
      </c>
      <c r="I143" s="41">
        <v>-96905.670400321673</v>
      </c>
    </row>
    <row r="144" spans="1:9" ht="15.75" thickBot="1" x14ac:dyDescent="0.3">
      <c r="A144" s="42" t="s">
        <v>230</v>
      </c>
      <c r="B144" s="42">
        <v>0.31539466413204909</v>
      </c>
      <c r="C144" s="42">
        <v>3.638373763195369E-2</v>
      </c>
      <c r="D144" s="42">
        <v>8.6685614139614007</v>
      </c>
      <c r="E144" s="42">
        <v>1.3000540125053869E-4</v>
      </c>
      <c r="F144" s="42">
        <v>0.22636686533147238</v>
      </c>
      <c r="G144" s="42">
        <v>0.40442246293262579</v>
      </c>
      <c r="H144" s="42">
        <v>0.22636686533147238</v>
      </c>
      <c r="I144" s="42">
        <v>0.40442246293262579</v>
      </c>
    </row>
    <row r="146" spans="1:6" x14ac:dyDescent="0.25">
      <c r="A146" t="s">
        <v>216</v>
      </c>
    </row>
    <row r="147" spans="1:6" ht="15.75" thickBot="1" x14ac:dyDescent="0.3"/>
    <row r="148" spans="1:6" x14ac:dyDescent="0.25">
      <c r="A148" s="43" t="s">
        <v>217</v>
      </c>
      <c r="B148" s="43"/>
    </row>
    <row r="149" spans="1:6" x14ac:dyDescent="0.25">
      <c r="A149" s="41" t="s">
        <v>218</v>
      </c>
      <c r="B149" s="41">
        <v>0.98283555341134798</v>
      </c>
    </row>
    <row r="150" spans="1:6" x14ac:dyDescent="0.25">
      <c r="A150" s="41" t="s">
        <v>219</v>
      </c>
      <c r="B150" s="41">
        <v>0.9659657250493906</v>
      </c>
    </row>
    <row r="151" spans="1:6" x14ac:dyDescent="0.25">
      <c r="A151" s="41" t="s">
        <v>220</v>
      </c>
      <c r="B151" s="41">
        <v>0.9523520150691468</v>
      </c>
    </row>
    <row r="152" spans="1:6" x14ac:dyDescent="0.25">
      <c r="A152" s="41" t="s">
        <v>84</v>
      </c>
      <c r="B152" s="41">
        <v>5563.4617911875675</v>
      </c>
    </row>
    <row r="153" spans="1:6" ht="15.75" thickBot="1" x14ac:dyDescent="0.3">
      <c r="A153" s="42" t="s">
        <v>171</v>
      </c>
      <c r="B153" s="42">
        <v>8</v>
      </c>
    </row>
    <row r="155" spans="1:6" ht="15.75" thickBot="1" x14ac:dyDescent="0.3">
      <c r="A155" t="s">
        <v>187</v>
      </c>
    </row>
    <row r="156" spans="1:6" x14ac:dyDescent="0.25">
      <c r="A156" s="49"/>
      <c r="B156" s="49" t="s">
        <v>174</v>
      </c>
      <c r="C156" s="49" t="s">
        <v>189</v>
      </c>
      <c r="D156" s="49" t="s">
        <v>190</v>
      </c>
      <c r="E156" s="49" t="s">
        <v>180</v>
      </c>
      <c r="F156" s="49" t="s">
        <v>224</v>
      </c>
    </row>
    <row r="157" spans="1:6" x14ac:dyDescent="0.25">
      <c r="A157" s="41" t="s">
        <v>221</v>
      </c>
      <c r="B157" s="41">
        <v>2</v>
      </c>
      <c r="C157" s="41">
        <v>4392435951.9899797</v>
      </c>
      <c r="D157" s="41">
        <v>2196217975.9949899</v>
      </c>
      <c r="E157" s="41">
        <v>70.955362384772727</v>
      </c>
      <c r="F157" s="41">
        <v>2.1369347311083061E-4</v>
      </c>
    </row>
    <row r="158" spans="1:6" x14ac:dyDescent="0.25">
      <c r="A158" s="41" t="s">
        <v>222</v>
      </c>
      <c r="B158" s="41">
        <v>5</v>
      </c>
      <c r="C158" s="41">
        <v>154760535.5100199</v>
      </c>
      <c r="D158" s="41">
        <v>30952107.10200398</v>
      </c>
      <c r="E158" s="41"/>
      <c r="F158" s="41"/>
    </row>
    <row r="159" spans="1:6" ht="15.75" thickBot="1" x14ac:dyDescent="0.3">
      <c r="A159" s="42" t="s">
        <v>195</v>
      </c>
      <c r="B159" s="42">
        <v>7</v>
      </c>
      <c r="C159" s="42">
        <v>4547196487.5</v>
      </c>
      <c r="D159" s="42"/>
      <c r="E159" s="42"/>
      <c r="F159" s="42"/>
    </row>
    <row r="160" spans="1:6" ht="15.75" thickBot="1" x14ac:dyDescent="0.3"/>
    <row r="161" spans="1:9" x14ac:dyDescent="0.25">
      <c r="A161" s="49"/>
      <c r="B161" s="49" t="s">
        <v>225</v>
      </c>
      <c r="C161" s="49" t="s">
        <v>84</v>
      </c>
      <c r="D161" s="49" t="s">
        <v>175</v>
      </c>
      <c r="E161" s="49" t="s">
        <v>191</v>
      </c>
      <c r="F161" s="49" t="s">
        <v>226</v>
      </c>
      <c r="G161" s="49" t="s">
        <v>227</v>
      </c>
      <c r="H161" s="49" t="s">
        <v>228</v>
      </c>
      <c r="I161" s="49" t="s">
        <v>229</v>
      </c>
    </row>
    <row r="162" spans="1:9" x14ac:dyDescent="0.25">
      <c r="A162" s="41" t="s">
        <v>223</v>
      </c>
      <c r="B162" s="41">
        <v>-11706.585989001745</v>
      </c>
      <c r="C162" s="41">
        <v>73330.786719868513</v>
      </c>
      <c r="D162" s="41">
        <v>-0.1596408072604234</v>
      </c>
      <c r="E162" s="41">
        <v>0.87941257570192288</v>
      </c>
      <c r="F162" s="41">
        <v>-200209.37432401645</v>
      </c>
      <c r="G162" s="41">
        <v>176796.20234601299</v>
      </c>
      <c r="H162" s="41">
        <v>-200209.37432401645</v>
      </c>
      <c r="I162" s="41">
        <v>176796.20234601299</v>
      </c>
    </row>
    <row r="163" spans="1:9" x14ac:dyDescent="0.25">
      <c r="A163" s="41" t="s">
        <v>230</v>
      </c>
      <c r="B163" s="41">
        <v>0.25718210832774901</v>
      </c>
      <c r="C163" s="41">
        <v>3.6182206077739351E-2</v>
      </c>
      <c r="D163" s="41">
        <v>7.1079720173827949</v>
      </c>
      <c r="E163" s="41">
        <v>8.5432084417748811E-4</v>
      </c>
      <c r="F163" s="41">
        <v>0.16417278661106235</v>
      </c>
      <c r="G163" s="41">
        <v>0.35019143004443565</v>
      </c>
      <c r="H163" s="41">
        <v>0.16417278661106235</v>
      </c>
      <c r="I163" s="41">
        <v>0.35019143004443565</v>
      </c>
    </row>
    <row r="164" spans="1:9" ht="15.75" thickBot="1" x14ac:dyDescent="0.3">
      <c r="A164" s="42" t="s">
        <v>232</v>
      </c>
      <c r="B164" s="42">
        <v>-0.17087134507172647</v>
      </c>
      <c r="C164" s="42">
        <v>7.0568422967475689E-2</v>
      </c>
      <c r="D164" s="42">
        <v>-2.4213570019905282</v>
      </c>
      <c r="E164" s="42">
        <v>6.0016855404690081E-2</v>
      </c>
      <c r="F164" s="42">
        <v>-0.35227325132142001</v>
      </c>
      <c r="G164" s="42">
        <v>1.0530561177967079E-2</v>
      </c>
      <c r="H164" s="42">
        <v>-0.35227325132142001</v>
      </c>
      <c r="I164" s="42">
        <v>1.0530561177967079E-2</v>
      </c>
    </row>
    <row r="166" spans="1:9" x14ac:dyDescent="0.25">
      <c r="A166" t="s">
        <v>233</v>
      </c>
    </row>
    <row r="167" spans="1:9" x14ac:dyDescent="0.25">
      <c r="A167" t="s">
        <v>233</v>
      </c>
    </row>
    <row r="168" spans="1:9" x14ac:dyDescent="0.25">
      <c r="A168">
        <f t="shared" ref="A168:A180" si="2">AVERAGE(C5:C7)</f>
        <v>645946.66666666663</v>
      </c>
    </row>
    <row r="169" spans="1:9" x14ac:dyDescent="0.25">
      <c r="A169">
        <f t="shared" si="2"/>
        <v>650013.33333333337</v>
      </c>
    </row>
    <row r="170" spans="1:9" x14ac:dyDescent="0.25">
      <c r="A170">
        <f t="shared" si="2"/>
        <v>679300</v>
      </c>
    </row>
    <row r="171" spans="1:9" x14ac:dyDescent="0.25">
      <c r="A171">
        <f t="shared" si="2"/>
        <v>729416.66666666663</v>
      </c>
    </row>
    <row r="172" spans="1:9" x14ac:dyDescent="0.25">
      <c r="A172">
        <f t="shared" si="2"/>
        <v>817016.66666666663</v>
      </c>
    </row>
    <row r="173" spans="1:9" x14ac:dyDescent="0.25">
      <c r="A173">
        <f t="shared" si="2"/>
        <v>833550</v>
      </c>
    </row>
    <row r="174" spans="1:9" x14ac:dyDescent="0.25">
      <c r="A174">
        <f t="shared" si="2"/>
        <v>836766.66666666663</v>
      </c>
    </row>
    <row r="175" spans="1:9" x14ac:dyDescent="0.25">
      <c r="A175">
        <f t="shared" si="2"/>
        <v>831666.66666666663</v>
      </c>
    </row>
    <row r="176" spans="1:9" x14ac:dyDescent="0.25">
      <c r="A176">
        <f t="shared" si="2"/>
        <v>903458.33333333337</v>
      </c>
    </row>
    <row r="177" spans="1:1" x14ac:dyDescent="0.25">
      <c r="A177">
        <f t="shared" si="2"/>
        <v>950458.33333333337</v>
      </c>
    </row>
    <row r="178" spans="1:1" x14ac:dyDescent="0.25">
      <c r="A178">
        <f t="shared" si="2"/>
        <v>975525</v>
      </c>
    </row>
    <row r="179" spans="1:1" x14ac:dyDescent="0.25">
      <c r="A179">
        <f t="shared" si="2"/>
        <v>957100</v>
      </c>
    </row>
    <row r="180" spans="1:1" x14ac:dyDescent="0.25">
      <c r="A180">
        <f t="shared" si="2"/>
        <v>956766.66666666663</v>
      </c>
    </row>
    <row r="182" spans="1:1" x14ac:dyDescent="0.25">
      <c r="A182" t="s">
        <v>233</v>
      </c>
    </row>
    <row r="183" spans="1:1" x14ac:dyDescent="0.25">
      <c r="A183">
        <f>C5</f>
        <v>625300</v>
      </c>
    </row>
    <row r="184" spans="1:1" x14ac:dyDescent="0.25">
      <c r="A184">
        <f t="shared" ref="A184:A196" si="3">0.2*C6+0.8*A183</f>
        <v>627748</v>
      </c>
    </row>
    <row r="185" spans="1:1" x14ac:dyDescent="0.25">
      <c r="A185">
        <f t="shared" si="3"/>
        <v>637198.4</v>
      </c>
    </row>
    <row r="186" spans="1:1" x14ac:dyDescent="0.25">
      <c r="A186">
        <f t="shared" si="3"/>
        <v>637258.72</v>
      </c>
    </row>
    <row r="187" spans="1:1" x14ac:dyDescent="0.25">
      <c r="A187">
        <f t="shared" si="3"/>
        <v>654886.97600000002</v>
      </c>
    </row>
    <row r="188" spans="1:1" x14ac:dyDescent="0.25">
      <c r="A188">
        <f t="shared" si="3"/>
        <v>688979.58080000011</v>
      </c>
    </row>
    <row r="189" spans="1:1" x14ac:dyDescent="0.25">
      <c r="A189">
        <f t="shared" si="3"/>
        <v>731243.66464000009</v>
      </c>
    </row>
    <row r="190" spans="1:1" x14ac:dyDescent="0.25">
      <c r="A190">
        <f t="shared" si="3"/>
        <v>739994.93171200005</v>
      </c>
    </row>
    <row r="191" spans="1:1" x14ac:dyDescent="0.25">
      <c r="A191">
        <f t="shared" si="3"/>
        <v>758995.94536960009</v>
      </c>
    </row>
    <row r="192" spans="1:1" x14ac:dyDescent="0.25">
      <c r="A192">
        <f t="shared" si="3"/>
        <v>784196.75629568007</v>
      </c>
    </row>
    <row r="193" spans="1:1" x14ac:dyDescent="0.25">
      <c r="A193">
        <f t="shared" si="3"/>
        <v>825432.40503654408</v>
      </c>
    </row>
    <row r="194" spans="1:1" x14ac:dyDescent="0.25">
      <c r="A194">
        <f t="shared" si="3"/>
        <v>855545.92402923526</v>
      </c>
    </row>
    <row r="195" spans="1:1" x14ac:dyDescent="0.25">
      <c r="A195">
        <f t="shared" si="3"/>
        <v>876476.73922338826</v>
      </c>
    </row>
    <row r="196" spans="1:1" x14ac:dyDescent="0.25">
      <c r="A196">
        <f t="shared" si="3"/>
        <v>888201.39137871063</v>
      </c>
    </row>
  </sheetData>
  <sortState ref="A85:A87">
    <sortCondition ref="A85"/>
  </sortState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opLeftCell="A17" workbookViewId="0">
      <selection activeCell="L23" sqref="L23"/>
    </sheetView>
  </sheetViews>
  <sheetFormatPr defaultRowHeight="15" x14ac:dyDescent="0.25"/>
  <cols>
    <col min="1" max="1" width="17.42578125" customWidth="1"/>
    <col min="2" max="2" width="30.5703125" bestFit="1" customWidth="1"/>
  </cols>
  <sheetData>
    <row r="1" spans="1:14" x14ac:dyDescent="0.25">
      <c r="A1" s="24"/>
    </row>
    <row r="2" spans="1:14" x14ac:dyDescent="0.25">
      <c r="A2" s="27">
        <v>123</v>
      </c>
    </row>
    <row r="3" spans="1:14" x14ac:dyDescent="0.25">
      <c r="M3" t="s">
        <v>65</v>
      </c>
    </row>
    <row r="4" spans="1:14" x14ac:dyDescent="0.25">
      <c r="A4" s="28">
        <f>DATE(2016,8,12)</f>
        <v>42594</v>
      </c>
    </row>
    <row r="5" spans="1:14" x14ac:dyDescent="0.25">
      <c r="M5" t="s">
        <v>47</v>
      </c>
      <c r="N5" t="s">
        <v>66</v>
      </c>
    </row>
    <row r="6" spans="1:14" x14ac:dyDescent="0.25">
      <c r="A6" s="14">
        <f>DATEVALUE("13-Mai-95")</f>
        <v>34832</v>
      </c>
      <c r="M6">
        <v>1000</v>
      </c>
      <c r="N6" t="s">
        <v>67</v>
      </c>
    </row>
    <row r="7" spans="1:14" x14ac:dyDescent="0.25">
      <c r="M7">
        <v>1500</v>
      </c>
      <c r="N7" t="s">
        <v>68</v>
      </c>
    </row>
    <row r="8" spans="1:14" x14ac:dyDescent="0.25">
      <c r="A8" s="30">
        <f ca="1">NOW()</f>
        <v>42674.639994444442</v>
      </c>
      <c r="M8">
        <v>2000</v>
      </c>
      <c r="N8" t="s">
        <v>69</v>
      </c>
    </row>
    <row r="9" spans="1:14" x14ac:dyDescent="0.25">
      <c r="A9" s="27">
        <f ca="1">TODAY()</f>
        <v>42674</v>
      </c>
      <c r="M9">
        <v>2500</v>
      </c>
      <c r="N9" t="s">
        <v>70</v>
      </c>
    </row>
    <row r="10" spans="1:14" x14ac:dyDescent="0.25">
      <c r="M10">
        <v>3000</v>
      </c>
      <c r="N10" t="s">
        <v>71</v>
      </c>
    </row>
    <row r="11" spans="1:14" x14ac:dyDescent="0.25">
      <c r="A11">
        <f>YEAR(A6)</f>
        <v>1995</v>
      </c>
      <c r="M11">
        <v>3500</v>
      </c>
      <c r="N11" t="s">
        <v>72</v>
      </c>
    </row>
    <row r="12" spans="1:14" x14ac:dyDescent="0.25">
      <c r="A12">
        <f>DAY(A4)</f>
        <v>12</v>
      </c>
      <c r="M12">
        <v>4000</v>
      </c>
      <c r="N12" t="s">
        <v>73</v>
      </c>
    </row>
    <row r="13" spans="1:14" x14ac:dyDescent="0.25">
      <c r="A13">
        <f>MONTH(A6)</f>
        <v>5</v>
      </c>
    </row>
    <row r="14" spans="1:14" x14ac:dyDescent="0.25">
      <c r="M14" t="s">
        <v>74</v>
      </c>
      <c r="N14" t="s">
        <v>75</v>
      </c>
    </row>
    <row r="15" spans="1:14" x14ac:dyDescent="0.25">
      <c r="A15" s="31"/>
      <c r="N15" t="s">
        <v>76</v>
      </c>
    </row>
    <row r="16" spans="1:14" x14ac:dyDescent="0.25">
      <c r="N16" t="s">
        <v>77</v>
      </c>
    </row>
    <row r="20" spans="1:12" x14ac:dyDescent="0.25">
      <c r="A20" t="s">
        <v>65</v>
      </c>
    </row>
    <row r="22" spans="1:12" x14ac:dyDescent="0.25">
      <c r="A22" t="s">
        <v>47</v>
      </c>
      <c r="B22" t="s">
        <v>66</v>
      </c>
    </row>
    <row r="23" spans="1:12" x14ac:dyDescent="0.25">
      <c r="A23">
        <v>1000</v>
      </c>
      <c r="B23" s="34">
        <v>0.01</v>
      </c>
      <c r="D23">
        <v>1000</v>
      </c>
      <c r="E23">
        <v>1500</v>
      </c>
      <c r="F23">
        <v>2000</v>
      </c>
      <c r="G23">
        <v>2500</v>
      </c>
      <c r="H23">
        <v>3000</v>
      </c>
      <c r="I23">
        <v>3500</v>
      </c>
      <c r="J23">
        <v>4000</v>
      </c>
      <c r="L23" s="34">
        <v>0.01</v>
      </c>
    </row>
    <row r="24" spans="1:12" x14ac:dyDescent="0.25">
      <c r="A24">
        <v>1500</v>
      </c>
      <c r="B24" s="34">
        <v>0.02</v>
      </c>
      <c r="D24" s="34">
        <v>0.01</v>
      </c>
      <c r="E24" s="34">
        <v>0.02</v>
      </c>
      <c r="F24" s="33">
        <v>3.5000000000000003E-2</v>
      </c>
      <c r="G24" s="23">
        <v>4</v>
      </c>
      <c r="H24" s="23">
        <v>5</v>
      </c>
      <c r="I24" s="33">
        <v>5.5E-2</v>
      </c>
      <c r="J24" s="34">
        <v>7.0000000000000007E-2</v>
      </c>
      <c r="L24" s="34">
        <v>0.02</v>
      </c>
    </row>
    <row r="25" spans="1:12" x14ac:dyDescent="0.25">
      <c r="A25">
        <v>2000</v>
      </c>
      <c r="B25" s="33">
        <v>3.5000000000000003E-2</v>
      </c>
      <c r="L25" s="33">
        <v>3.5000000000000003E-2</v>
      </c>
    </row>
    <row r="26" spans="1:12" x14ac:dyDescent="0.25">
      <c r="A26">
        <v>2500</v>
      </c>
      <c r="B26" s="34">
        <v>0.04</v>
      </c>
      <c r="D26">
        <v>1750</v>
      </c>
      <c r="E26" s="35">
        <f>HLOOKUP(D26,D23:J24,2)</f>
        <v>0.02</v>
      </c>
      <c r="L26" s="34">
        <v>0.04</v>
      </c>
    </row>
    <row r="27" spans="1:12" x14ac:dyDescent="0.25">
      <c r="A27">
        <v>3000</v>
      </c>
      <c r="B27" s="34">
        <v>0.05</v>
      </c>
      <c r="L27" s="34">
        <v>0.05</v>
      </c>
    </row>
    <row r="28" spans="1:12" x14ac:dyDescent="0.25">
      <c r="A28">
        <v>3500</v>
      </c>
      <c r="B28" s="33">
        <v>5.5E-2</v>
      </c>
      <c r="L28" s="33">
        <v>5.5E-2</v>
      </c>
    </row>
    <row r="29" spans="1:12" x14ac:dyDescent="0.25">
      <c r="A29">
        <v>4000</v>
      </c>
      <c r="B29" s="34">
        <v>7.0000000000000007E-2</v>
      </c>
      <c r="L29" s="34">
        <v>7.0000000000000007E-2</v>
      </c>
    </row>
    <row r="31" spans="1:12" x14ac:dyDescent="0.25">
      <c r="A31" t="s">
        <v>74</v>
      </c>
      <c r="B31" t="s">
        <v>75</v>
      </c>
      <c r="L31" s="36">
        <f>LOOKUP(2500,A23:A29,L23:L29)</f>
        <v>0.04</v>
      </c>
    </row>
    <row r="32" spans="1:12" x14ac:dyDescent="0.25">
      <c r="A32">
        <v>1750</v>
      </c>
      <c r="B32" t="s">
        <v>76</v>
      </c>
      <c r="C32" s="35">
        <f>VLOOKUP(A32,A23:B29,2,1)</f>
        <v>0.02</v>
      </c>
    </row>
    <row r="33" spans="1:3" x14ac:dyDescent="0.25">
      <c r="B33" t="s">
        <v>77</v>
      </c>
      <c r="C33">
        <f>A32*C32</f>
        <v>35</v>
      </c>
    </row>
    <row r="40" spans="1:3" x14ac:dyDescent="0.25">
      <c r="A40" t="s">
        <v>236</v>
      </c>
      <c r="B40" t="s">
        <v>237</v>
      </c>
      <c r="C40" t="s">
        <v>238</v>
      </c>
    </row>
    <row r="41" spans="1:3" x14ac:dyDescent="0.25">
      <c r="A41">
        <v>5001</v>
      </c>
      <c r="B41">
        <v>50</v>
      </c>
      <c r="C41">
        <v>62.1</v>
      </c>
    </row>
    <row r="42" spans="1:3" x14ac:dyDescent="0.25">
      <c r="A42">
        <v>5003</v>
      </c>
      <c r="B42">
        <v>75</v>
      </c>
      <c r="C42">
        <v>59.1</v>
      </c>
    </row>
    <row r="43" spans="1:3" x14ac:dyDescent="0.25">
      <c r="A43">
        <v>5005</v>
      </c>
      <c r="B43">
        <v>50</v>
      </c>
      <c r="C43">
        <v>56.1</v>
      </c>
    </row>
    <row r="45" spans="1:3" x14ac:dyDescent="0.25">
      <c r="A45" t="s">
        <v>195</v>
      </c>
      <c r="B45">
        <f>SUMPRODUCT(B41:B43, C41:C43)</f>
        <v>10342.5</v>
      </c>
    </row>
    <row r="46" spans="1:3" x14ac:dyDescent="0.25">
      <c r="A46" t="s">
        <v>239</v>
      </c>
      <c r="B46">
        <f>SUMSQ(B41:B43)</f>
        <v>10625</v>
      </c>
    </row>
    <row r="49" spans="1:3" x14ac:dyDescent="0.25">
      <c r="A49" t="s">
        <v>236</v>
      </c>
      <c r="B49" t="s">
        <v>237</v>
      </c>
      <c r="C49" t="s">
        <v>238</v>
      </c>
    </row>
    <row r="50" spans="1:3" x14ac:dyDescent="0.25">
      <c r="A50">
        <v>5001</v>
      </c>
      <c r="B50">
        <v>25</v>
      </c>
      <c r="C50">
        <v>62.1</v>
      </c>
    </row>
    <row r="51" spans="1:3" x14ac:dyDescent="0.25">
      <c r="A51">
        <v>5003</v>
      </c>
      <c r="B51">
        <v>50</v>
      </c>
      <c r="C51">
        <v>59.1</v>
      </c>
    </row>
    <row r="52" spans="1:3" x14ac:dyDescent="0.25">
      <c r="A52">
        <v>5005</v>
      </c>
      <c r="B52">
        <v>75</v>
      </c>
      <c r="C52">
        <v>56.1</v>
      </c>
    </row>
    <row r="54" spans="1:3" x14ac:dyDescent="0.25">
      <c r="C54">
        <f>SUMX2MY2(B41:B43, B50:B52)</f>
        <v>1875</v>
      </c>
    </row>
    <row r="55" spans="1:3" x14ac:dyDescent="0.25">
      <c r="C55">
        <f>SUMX2PY2(B41:B43, B50:B52)</f>
        <v>19375</v>
      </c>
    </row>
    <row r="56" spans="1:3" x14ac:dyDescent="0.25">
      <c r="C56">
        <f>SUMXMY2(B41:B43, B50:B52)</f>
        <v>1875</v>
      </c>
    </row>
    <row r="58" spans="1:3" x14ac:dyDescent="0.25">
      <c r="A58" t="s">
        <v>225</v>
      </c>
      <c r="B58">
        <v>7</v>
      </c>
    </row>
    <row r="59" spans="1:3" x14ac:dyDescent="0.25">
      <c r="B59">
        <v>7</v>
      </c>
    </row>
    <row r="60" spans="1:3" x14ac:dyDescent="0.25">
      <c r="B60">
        <v>7</v>
      </c>
    </row>
    <row r="61" spans="1:3" x14ac:dyDescent="0.25">
      <c r="B61">
        <v>7</v>
      </c>
    </row>
    <row r="62" spans="1:3" x14ac:dyDescent="0.25">
      <c r="A62" t="s">
        <v>240</v>
      </c>
      <c r="B62">
        <v>0</v>
      </c>
    </row>
    <row r="63" spans="1:3" x14ac:dyDescent="0.25">
      <c r="A63" t="s">
        <v>241</v>
      </c>
      <c r="B63">
        <v>3</v>
      </c>
    </row>
    <row r="64" spans="1:3" x14ac:dyDescent="0.25">
      <c r="A64" t="s">
        <v>242</v>
      </c>
      <c r="B64">
        <v>1</v>
      </c>
    </row>
    <row r="65" spans="1:6" x14ac:dyDescent="0.25">
      <c r="A65" t="s">
        <v>243</v>
      </c>
      <c r="B65">
        <f>SERIESSUM(B63, B62, B64, B58:B61)</f>
        <v>280</v>
      </c>
    </row>
    <row r="67" spans="1:6" x14ac:dyDescent="0.25">
      <c r="A67">
        <v>-45.67</v>
      </c>
      <c r="B67" t="s">
        <v>245</v>
      </c>
      <c r="C67">
        <f>ABS(A67)</f>
        <v>45.67</v>
      </c>
    </row>
    <row r="68" spans="1:6" x14ac:dyDescent="0.25">
      <c r="A68">
        <v>81</v>
      </c>
      <c r="B68" t="s">
        <v>246</v>
      </c>
      <c r="C68">
        <f>SQRT(A68)</f>
        <v>9</v>
      </c>
    </row>
    <row r="69" spans="1:6" x14ac:dyDescent="0.25">
      <c r="A69">
        <v>1</v>
      </c>
      <c r="B69" t="s">
        <v>247</v>
      </c>
      <c r="C69">
        <f>EXP(A69)</f>
        <v>2.7182818284590451</v>
      </c>
    </row>
    <row r="70" spans="1:6" x14ac:dyDescent="0.25">
      <c r="A70">
        <v>4</v>
      </c>
      <c r="B70" t="s">
        <v>248</v>
      </c>
      <c r="C70">
        <f>FACT(A70)</f>
        <v>24</v>
      </c>
      <c r="D70">
        <v>3</v>
      </c>
    </row>
    <row r="71" spans="1:6" x14ac:dyDescent="0.25">
      <c r="A71">
        <v>4</v>
      </c>
      <c r="B71" t="s">
        <v>249</v>
      </c>
      <c r="C71">
        <f>FACTDOUBLE(A71)</f>
        <v>8</v>
      </c>
      <c r="D71">
        <v>4</v>
      </c>
    </row>
    <row r="72" spans="1:6" x14ac:dyDescent="0.25">
      <c r="A72">
        <v>5</v>
      </c>
      <c r="B72" t="s">
        <v>250</v>
      </c>
      <c r="C72">
        <f>FACTDOUBLE(A72)</f>
        <v>15</v>
      </c>
      <c r="D72">
        <v>5</v>
      </c>
      <c r="E72" t="s">
        <v>251</v>
      </c>
      <c r="F72">
        <f>MULTINOMIAL(D70:D72)</f>
        <v>27719.999999999964</v>
      </c>
    </row>
    <row r="73" spans="1:6" x14ac:dyDescent="0.25">
      <c r="A73">
        <v>45.89</v>
      </c>
      <c r="B73" t="s">
        <v>252</v>
      </c>
      <c r="C73">
        <f>INT(A73)</f>
        <v>45</v>
      </c>
    </row>
    <row r="74" spans="1:6" x14ac:dyDescent="0.25">
      <c r="A74">
        <v>20</v>
      </c>
    </row>
    <row r="75" spans="1:6" x14ac:dyDescent="0.25">
      <c r="A75">
        <v>40</v>
      </c>
    </row>
    <row r="76" spans="1:6" x14ac:dyDescent="0.25">
      <c r="A76">
        <v>80</v>
      </c>
    </row>
    <row r="77" spans="1:6" x14ac:dyDescent="0.25">
      <c r="A77">
        <v>120</v>
      </c>
      <c r="B77" t="s">
        <v>253</v>
      </c>
      <c r="C77">
        <f>GCD(A74:A77)</f>
        <v>20</v>
      </c>
    </row>
    <row r="78" spans="1:6" x14ac:dyDescent="0.25">
      <c r="B78" t="s">
        <v>254</v>
      </c>
      <c r="C78">
        <f>LCM(A74:A77)</f>
        <v>240</v>
      </c>
    </row>
    <row r="79" spans="1:6" x14ac:dyDescent="0.25">
      <c r="A79">
        <v>4</v>
      </c>
      <c r="B79" t="s">
        <v>255</v>
      </c>
    </row>
    <row r="80" spans="1:6" x14ac:dyDescent="0.25">
      <c r="A80">
        <v>3</v>
      </c>
      <c r="B80" t="s">
        <v>256</v>
      </c>
    </row>
    <row r="81" spans="1:3" x14ac:dyDescent="0.25">
      <c r="B81">
        <f>4^3</f>
        <v>64</v>
      </c>
      <c r="C81">
        <f>POWER(A79, A80)</f>
        <v>64</v>
      </c>
    </row>
    <row r="82" spans="1:3" x14ac:dyDescent="0.25">
      <c r="B82" t="s">
        <v>257</v>
      </c>
      <c r="C82">
        <f>PI()</f>
        <v>3.1415926535897931</v>
      </c>
    </row>
    <row r="83" spans="1:3" x14ac:dyDescent="0.25">
      <c r="A83">
        <v>45.89</v>
      </c>
      <c r="B83" t="s">
        <v>258</v>
      </c>
      <c r="C83">
        <f>ROUND(A83, 1)</f>
        <v>45.9</v>
      </c>
    </row>
    <row r="84" spans="1:3" x14ac:dyDescent="0.25">
      <c r="A84">
        <v>23.786000000000001</v>
      </c>
      <c r="B84" t="s">
        <v>258</v>
      </c>
      <c r="C84">
        <f>ROUNDDOWN(A84, 1)</f>
        <v>23.7</v>
      </c>
    </row>
    <row r="85" spans="1:3" x14ac:dyDescent="0.25">
      <c r="C85">
        <f>ROUNDUP(A84, 1)</f>
        <v>23.8</v>
      </c>
    </row>
    <row r="86" spans="1:3" x14ac:dyDescent="0.25">
      <c r="A86">
        <v>4</v>
      </c>
      <c r="B86" t="s">
        <v>259</v>
      </c>
      <c r="C86">
        <f>MROUND(A84, A86)</f>
        <v>24</v>
      </c>
    </row>
    <row r="87" spans="1:3" x14ac:dyDescent="0.25">
      <c r="B87" t="s">
        <v>259</v>
      </c>
      <c r="C87">
        <f>FLOOR(A84, A86)</f>
        <v>20</v>
      </c>
    </row>
    <row r="88" spans="1:3" x14ac:dyDescent="0.25">
      <c r="B88" t="s">
        <v>260</v>
      </c>
      <c r="C88">
        <f>EVEN(A84)</f>
        <v>24</v>
      </c>
    </row>
    <row r="89" spans="1:3" x14ac:dyDescent="0.25">
      <c r="B89" t="s">
        <v>261</v>
      </c>
      <c r="C89">
        <f>ODD(A84)</f>
        <v>25</v>
      </c>
    </row>
    <row r="90" spans="1:3" x14ac:dyDescent="0.25">
      <c r="B90" t="s">
        <v>262</v>
      </c>
      <c r="C90">
        <f>PRODUCT(A74:A77)</f>
        <v>7680000</v>
      </c>
    </row>
    <row r="91" spans="1:3" x14ac:dyDescent="0.25">
      <c r="A91">
        <v>133</v>
      </c>
      <c r="B91" t="s">
        <v>263</v>
      </c>
    </row>
    <row r="92" spans="1:3" x14ac:dyDescent="0.25">
      <c r="A92">
        <v>15</v>
      </c>
      <c r="B92" t="s">
        <v>264</v>
      </c>
    </row>
    <row r="93" spans="1:3" x14ac:dyDescent="0.25">
      <c r="B93" t="s">
        <v>265</v>
      </c>
      <c r="C93">
        <f>QUOTIENT(A91, A92)</f>
        <v>8</v>
      </c>
    </row>
    <row r="94" spans="1:3" x14ac:dyDescent="0.25">
      <c r="B94" t="s">
        <v>266</v>
      </c>
      <c r="C94">
        <f>MOD(A91, A92)</f>
        <v>13</v>
      </c>
    </row>
    <row r="95" spans="1:3" x14ac:dyDescent="0.25">
      <c r="B95" t="s">
        <v>267</v>
      </c>
      <c r="C95" s="23" t="str">
        <f>ROMAN(A91)</f>
        <v>CXXXIII</v>
      </c>
    </row>
    <row r="96" spans="1:3" x14ac:dyDescent="0.25">
      <c r="A96">
        <v>10</v>
      </c>
      <c r="B96" t="s">
        <v>268</v>
      </c>
      <c r="C96">
        <f ca="1">RAND()</f>
        <v>0.74810177531844368</v>
      </c>
    </row>
    <row r="97" spans="1:3" x14ac:dyDescent="0.25">
      <c r="A97">
        <v>20</v>
      </c>
      <c r="B97" t="s">
        <v>269</v>
      </c>
      <c r="C97">
        <f ca="1">RANDBETWEEN(A96, A97)</f>
        <v>17</v>
      </c>
    </row>
    <row r="98" spans="1:3" x14ac:dyDescent="0.25">
      <c r="B98" t="s">
        <v>270</v>
      </c>
      <c r="C98">
        <f>COUNTBLANK(A74:A77)</f>
        <v>0</v>
      </c>
    </row>
    <row r="99" spans="1:3" x14ac:dyDescent="0.25">
      <c r="B99" t="s">
        <v>271</v>
      </c>
      <c r="C99">
        <f>COUNTIF(A74:A77, "&lt;50")</f>
        <v>2</v>
      </c>
    </row>
    <row r="100" spans="1:3" x14ac:dyDescent="0.25">
      <c r="A100">
        <v>49</v>
      </c>
      <c r="B100" t="s">
        <v>272</v>
      </c>
      <c r="C100" t="s">
        <v>273</v>
      </c>
    </row>
    <row r="101" spans="1:3" x14ac:dyDescent="0.25">
      <c r="A101">
        <v>6</v>
      </c>
      <c r="B101" t="s">
        <v>274</v>
      </c>
      <c r="C101">
        <f>COMBIN(A100, A101)</f>
        <v>13983816</v>
      </c>
    </row>
    <row r="102" spans="1:3" x14ac:dyDescent="0.25">
      <c r="A102">
        <v>4</v>
      </c>
      <c r="B102" t="s">
        <v>275</v>
      </c>
      <c r="C102" t="s">
        <v>276</v>
      </c>
    </row>
    <row r="103" spans="1:3" x14ac:dyDescent="0.25">
      <c r="A103">
        <v>2</v>
      </c>
      <c r="B103" t="s">
        <v>277</v>
      </c>
      <c r="C103">
        <f>PERMUT(A102,A103)</f>
        <v>12</v>
      </c>
    </row>
    <row r="105" spans="1:3" x14ac:dyDescent="0.25">
      <c r="A105">
        <v>90</v>
      </c>
      <c r="B105" t="s">
        <v>278</v>
      </c>
    </row>
    <row r="106" spans="1:3" x14ac:dyDescent="0.25">
      <c r="B106" t="s">
        <v>279</v>
      </c>
      <c r="C106">
        <f>RADIANS(A105)</f>
        <v>1.5707963267948966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cols>
    <col min="1" max="1" width="23.5703125" bestFit="1" customWidth="1"/>
    <col min="2" max="2" width="29.7109375" bestFit="1" customWidth="1"/>
    <col min="3" max="3" width="19.140625" bestFit="1" customWidth="1"/>
    <col min="4" max="4" width="12.85546875" bestFit="1" customWidth="1"/>
  </cols>
  <sheetData>
    <row r="1" spans="1:4" ht="15.75" x14ac:dyDescent="0.25">
      <c r="A1" s="8" t="s">
        <v>0</v>
      </c>
      <c r="B1" s="1" t="s">
        <v>12</v>
      </c>
      <c r="C1" s="1" t="s">
        <v>78</v>
      </c>
      <c r="D1" s="1" t="s">
        <v>66</v>
      </c>
    </row>
    <row r="2" spans="1:4" x14ac:dyDescent="0.25">
      <c r="A2" s="9">
        <v>1001</v>
      </c>
      <c r="B2" s="10" t="s">
        <v>53</v>
      </c>
    </row>
    <row r="3" spans="1:4" x14ac:dyDescent="0.25">
      <c r="A3" s="9">
        <v>1008</v>
      </c>
      <c r="B3" s="10" t="s">
        <v>54</v>
      </c>
    </row>
    <row r="4" spans="1:4" x14ac:dyDescent="0.25">
      <c r="A4" s="13">
        <v>1009</v>
      </c>
      <c r="B4" s="14" t="s">
        <v>55</v>
      </c>
      <c r="C4">
        <v>2250</v>
      </c>
      <c r="D4" s="37">
        <f>VLOOKUP(C4,Funções!$A$23:$B$29,2,1)</f>
        <v>3.5000000000000003E-2</v>
      </c>
    </row>
    <row r="5" spans="1:4" x14ac:dyDescent="0.25">
      <c r="A5" s="13">
        <v>1011</v>
      </c>
      <c r="B5" s="14" t="s">
        <v>56</v>
      </c>
      <c r="D5" s="38"/>
    </row>
    <row r="6" spans="1:4" x14ac:dyDescent="0.25">
      <c r="A6" s="13">
        <v>1014</v>
      </c>
      <c r="B6" s="14" t="s">
        <v>57</v>
      </c>
      <c r="C6">
        <v>3450</v>
      </c>
      <c r="D6" s="37">
        <f>VLOOKUP(C6,Funções!$A$23:$B$29,2,1)</f>
        <v>0.05</v>
      </c>
    </row>
    <row r="7" spans="1:4" x14ac:dyDescent="0.25">
      <c r="A7" s="13">
        <v>1020</v>
      </c>
      <c r="B7" s="14" t="s">
        <v>58</v>
      </c>
      <c r="C7">
        <v>1760</v>
      </c>
      <c r="D7" s="37">
        <f>VLOOKUP(C7,Funções!$A$23:$B$29,2,1)</f>
        <v>0.02</v>
      </c>
    </row>
    <row r="8" spans="1:4" x14ac:dyDescent="0.25">
      <c r="A8" s="13">
        <v>1025</v>
      </c>
      <c r="B8" s="14" t="s">
        <v>59</v>
      </c>
      <c r="D8" s="38"/>
    </row>
    <row r="9" spans="1:4" x14ac:dyDescent="0.25">
      <c r="A9" s="13">
        <v>1027</v>
      </c>
      <c r="B9" s="14" t="s">
        <v>60</v>
      </c>
      <c r="D9" s="38"/>
    </row>
    <row r="10" spans="1:4" x14ac:dyDescent="0.25">
      <c r="A10" s="13">
        <v>1029</v>
      </c>
      <c r="B10" s="14" t="s">
        <v>61</v>
      </c>
      <c r="C10">
        <v>2430</v>
      </c>
      <c r="D10" s="37">
        <f>VLOOKUP(C10,Funções!$A$23:$B$29,2,1)</f>
        <v>3.5000000000000003E-2</v>
      </c>
    </row>
    <row r="11" spans="1:4" x14ac:dyDescent="0.25">
      <c r="A11" s="13">
        <v>1035</v>
      </c>
      <c r="B11" s="14" t="s">
        <v>62</v>
      </c>
      <c r="C11">
        <v>1320</v>
      </c>
      <c r="D11" s="37">
        <f>VLOOKUP(C11,Funções!$A$23:$B$29,2,1)</f>
        <v>0.01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opLeftCell="A40" workbookViewId="0">
      <selection activeCell="B46" sqref="B46"/>
    </sheetView>
  </sheetViews>
  <sheetFormatPr defaultRowHeight="15" x14ac:dyDescent="0.25"/>
  <cols>
    <col min="1" max="1" width="37" bestFit="1" customWidth="1"/>
    <col min="2" max="2" width="9.5703125" bestFit="1" customWidth="1"/>
  </cols>
  <sheetData>
    <row r="1" spans="1:2" x14ac:dyDescent="0.25">
      <c r="A1" t="s">
        <v>129</v>
      </c>
      <c r="B1">
        <v>20</v>
      </c>
    </row>
    <row r="2" spans="1:2" x14ac:dyDescent="0.25">
      <c r="A2" t="s">
        <v>130</v>
      </c>
      <c r="B2">
        <v>0.01</v>
      </c>
    </row>
    <row r="3" spans="1:2" x14ac:dyDescent="0.25">
      <c r="A3" t="s">
        <v>131</v>
      </c>
      <c r="B3">
        <v>2</v>
      </c>
    </row>
    <row r="4" spans="1:2" x14ac:dyDescent="0.25">
      <c r="A4" t="s">
        <v>132</v>
      </c>
      <c r="B4">
        <f>BINOMDIST(B3, B1, B2, TRUE)</f>
        <v>0.9989964238318999</v>
      </c>
    </row>
    <row r="5" spans="1:2" x14ac:dyDescent="0.25">
      <c r="A5" t="s">
        <v>133</v>
      </c>
      <c r="B5">
        <f>1-B4</f>
        <v>1.0035761681000954E-3</v>
      </c>
    </row>
    <row r="6" spans="1:2" x14ac:dyDescent="0.25">
      <c r="A6" t="s">
        <v>134</v>
      </c>
      <c r="B6">
        <v>3</v>
      </c>
    </row>
    <row r="7" spans="1:2" x14ac:dyDescent="0.25">
      <c r="A7" t="s">
        <v>135</v>
      </c>
      <c r="B7">
        <f>BINOMDIST(B6, B1, B2, FALSE)</f>
        <v>9.6095524045767644E-4</v>
      </c>
    </row>
    <row r="8" spans="1:2" x14ac:dyDescent="0.25">
      <c r="A8" t="s">
        <v>136</v>
      </c>
      <c r="B8">
        <v>20</v>
      </c>
    </row>
    <row r="9" spans="1:2" x14ac:dyDescent="0.25">
      <c r="A9" t="s">
        <v>134</v>
      </c>
      <c r="B9">
        <v>2</v>
      </c>
    </row>
    <row r="10" spans="1:2" x14ac:dyDescent="0.25">
      <c r="A10" t="s">
        <v>137</v>
      </c>
      <c r="B10">
        <f>NEGBINOMDIST(20-2, B9, B2)</f>
        <v>1.5855761467551664E-3</v>
      </c>
    </row>
    <row r="11" spans="1:2" x14ac:dyDescent="0.25">
      <c r="A11" t="s">
        <v>138</v>
      </c>
      <c r="B11">
        <v>0.1</v>
      </c>
    </row>
    <row r="12" spans="1:2" x14ac:dyDescent="0.25">
      <c r="A12" t="s">
        <v>139</v>
      </c>
      <c r="B12">
        <v>100</v>
      </c>
    </row>
    <row r="13" spans="1:2" x14ac:dyDescent="0.25">
      <c r="A13" t="s">
        <v>140</v>
      </c>
      <c r="B13">
        <v>10</v>
      </c>
    </row>
    <row r="14" spans="1:2" x14ac:dyDescent="0.25">
      <c r="A14" t="s">
        <v>134</v>
      </c>
      <c r="B14">
        <v>3</v>
      </c>
    </row>
    <row r="15" spans="1:2" x14ac:dyDescent="0.25">
      <c r="A15" t="s">
        <v>135</v>
      </c>
      <c r="B15">
        <f>HYPGEOMDIST(B14, B13, B11*B12, B12)</f>
        <v>5.1793705332428275E-2</v>
      </c>
    </row>
    <row r="17" spans="1:2" x14ac:dyDescent="0.25">
      <c r="A17" t="s">
        <v>141</v>
      </c>
      <c r="B17">
        <v>2</v>
      </c>
    </row>
    <row r="18" spans="1:2" x14ac:dyDescent="0.25">
      <c r="A18" t="s">
        <v>142</v>
      </c>
      <c r="B18">
        <v>5</v>
      </c>
    </row>
    <row r="19" spans="1:2" x14ac:dyDescent="0.25">
      <c r="A19" t="s">
        <v>143</v>
      </c>
      <c r="B19" s="51">
        <f>POISSON(B18,B17,0)</f>
        <v>3.6089408863096716E-2</v>
      </c>
    </row>
    <row r="20" spans="1:2" x14ac:dyDescent="0.25">
      <c r="A20" t="s">
        <v>142</v>
      </c>
      <c r="B20">
        <v>4</v>
      </c>
    </row>
    <row r="21" spans="1:2" x14ac:dyDescent="0.25">
      <c r="A21" t="s">
        <v>144</v>
      </c>
      <c r="B21">
        <f>1-POISSON(B20,B17,1)</f>
        <v>5.2653017343711195E-2</v>
      </c>
    </row>
    <row r="23" spans="1:2" x14ac:dyDescent="0.25">
      <c r="A23" t="s">
        <v>83</v>
      </c>
      <c r="B23">
        <v>95</v>
      </c>
    </row>
    <row r="24" spans="1:2" x14ac:dyDescent="0.25">
      <c r="A24" t="s">
        <v>87</v>
      </c>
      <c r="B24">
        <v>5</v>
      </c>
    </row>
    <row r="25" spans="1:2" x14ac:dyDescent="0.25">
      <c r="A25" t="s">
        <v>145</v>
      </c>
      <c r="B25">
        <v>85</v>
      </c>
    </row>
    <row r="26" spans="1:2" x14ac:dyDescent="0.25">
      <c r="A26" t="s">
        <v>146</v>
      </c>
      <c r="B26">
        <f>NORMDIST(B25,B23,B24,1)</f>
        <v>2.2750131948179191E-2</v>
      </c>
    </row>
    <row r="27" spans="1:2" x14ac:dyDescent="0.25">
      <c r="A27" t="s">
        <v>147</v>
      </c>
      <c r="B27" s="54">
        <f>STANDARDIZE(B25, B23, B24)</f>
        <v>-2</v>
      </c>
    </row>
    <row r="28" spans="1:2" x14ac:dyDescent="0.25">
      <c r="A28" t="s">
        <v>148</v>
      </c>
      <c r="B28">
        <f>NORMSDIST(B27)</f>
        <v>2.2750131948179191E-2</v>
      </c>
    </row>
    <row r="30" spans="1:2" x14ac:dyDescent="0.25">
      <c r="A30" t="s">
        <v>149</v>
      </c>
      <c r="B30">
        <v>0.9</v>
      </c>
    </row>
    <row r="31" spans="1:2" x14ac:dyDescent="0.25">
      <c r="A31" t="s">
        <v>150</v>
      </c>
      <c r="B31">
        <f>NORMINV(B30,B23,B24)</f>
        <v>101.407757827723</v>
      </c>
    </row>
    <row r="33" spans="1:2" x14ac:dyDescent="0.25">
      <c r="A33" t="s">
        <v>150</v>
      </c>
      <c r="B33">
        <v>110</v>
      </c>
    </row>
    <row r="34" spans="1:2" x14ac:dyDescent="0.25">
      <c r="A34" t="s">
        <v>151</v>
      </c>
      <c r="B34">
        <f>1 - NORMDIST(B33, B23, B24, TRUE)</f>
        <v>1.3498980316301035E-3</v>
      </c>
    </row>
    <row r="36" spans="1:2" x14ac:dyDescent="0.25">
      <c r="A36" t="s">
        <v>152</v>
      </c>
      <c r="B36">
        <v>0.2</v>
      </c>
    </row>
    <row r="37" spans="1:2" x14ac:dyDescent="0.25">
      <c r="A37" t="s">
        <v>150</v>
      </c>
      <c r="B37">
        <v>5</v>
      </c>
    </row>
    <row r="38" spans="1:2" x14ac:dyDescent="0.25">
      <c r="A38" t="s">
        <v>153</v>
      </c>
      <c r="B38">
        <f>1 - EXPONDIST(B37, B36, TRUE)</f>
        <v>0.36787944117144233</v>
      </c>
    </row>
    <row r="40" spans="1:2" x14ac:dyDescent="0.25">
      <c r="A40" t="s">
        <v>154</v>
      </c>
      <c r="B40">
        <v>10</v>
      </c>
    </row>
    <row r="41" spans="1:2" x14ac:dyDescent="0.25">
      <c r="A41" t="s">
        <v>150</v>
      </c>
      <c r="B41">
        <v>5</v>
      </c>
    </row>
    <row r="42" spans="1:2" x14ac:dyDescent="0.25">
      <c r="A42" t="s">
        <v>155</v>
      </c>
      <c r="B42">
        <f>1 - CHIDIST(B41, B40)</f>
        <v>0.10882198108584873</v>
      </c>
    </row>
    <row r="43" spans="1:2" x14ac:dyDescent="0.25">
      <c r="A43" t="s">
        <v>154</v>
      </c>
      <c r="B43">
        <v>5</v>
      </c>
    </row>
    <row r="44" spans="1:2" x14ac:dyDescent="0.25">
      <c r="A44" t="s">
        <v>150</v>
      </c>
      <c r="B44">
        <v>7</v>
      </c>
    </row>
    <row r="45" spans="1:2" x14ac:dyDescent="0.25">
      <c r="A45" t="s">
        <v>156</v>
      </c>
      <c r="B45">
        <f xml:space="preserve"> TDIST(B44, B43, 1)</f>
        <v>4.5837375719920252E-4</v>
      </c>
    </row>
    <row r="46" spans="1:2" x14ac:dyDescent="0.25">
      <c r="A46" t="s">
        <v>157</v>
      </c>
      <c r="B46">
        <f>1 - TDIST(B44, B43, 2)</f>
        <v>0.99908325248560159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5" x14ac:dyDescent="0.25"/>
  <cols>
    <col min="1" max="1" width="11.5703125" bestFit="1" customWidth="1"/>
    <col min="2" max="3" width="11.42578125" bestFit="1" customWidth="1"/>
    <col min="5" max="5" width="46.28515625" bestFit="1" customWidth="1"/>
  </cols>
  <sheetData>
    <row r="1" spans="1:7" x14ac:dyDescent="0.25">
      <c r="A1" t="s">
        <v>158</v>
      </c>
      <c r="B1" t="s">
        <v>159</v>
      </c>
      <c r="C1" t="s">
        <v>160</v>
      </c>
      <c r="E1" t="s">
        <v>170</v>
      </c>
    </row>
    <row r="2" spans="1:7" ht="15.75" thickBot="1" x14ac:dyDescent="0.3">
      <c r="A2" s="22" t="s">
        <v>161</v>
      </c>
      <c r="B2" s="23">
        <v>400</v>
      </c>
      <c r="C2" s="23">
        <v>450</v>
      </c>
    </row>
    <row r="3" spans="1:7" x14ac:dyDescent="0.25">
      <c r="A3" s="22" t="s">
        <v>162</v>
      </c>
      <c r="B3" s="23">
        <v>300</v>
      </c>
      <c r="C3" s="23">
        <v>500</v>
      </c>
      <c r="E3" s="49"/>
      <c r="F3" s="49" t="s">
        <v>160</v>
      </c>
      <c r="G3" s="49" t="s">
        <v>159</v>
      </c>
    </row>
    <row r="4" spans="1:7" x14ac:dyDescent="0.25">
      <c r="A4" s="22" t="s">
        <v>163</v>
      </c>
      <c r="B4" s="23">
        <v>700</v>
      </c>
      <c r="C4" s="23">
        <v>850</v>
      </c>
      <c r="E4" s="41" t="s">
        <v>83</v>
      </c>
      <c r="F4" s="41">
        <v>830</v>
      </c>
      <c r="G4" s="41">
        <v>696</v>
      </c>
    </row>
    <row r="5" spans="1:7" x14ac:dyDescent="0.25">
      <c r="A5" s="22" t="s">
        <v>164</v>
      </c>
      <c r="B5" s="23">
        <v>900</v>
      </c>
      <c r="C5" s="23">
        <v>1020</v>
      </c>
      <c r="E5" s="41" t="s">
        <v>102</v>
      </c>
      <c r="F5" s="41">
        <v>62755.555555555555</v>
      </c>
      <c r="G5" s="41">
        <v>68048.888888888891</v>
      </c>
    </row>
    <row r="6" spans="1:7" x14ac:dyDescent="0.25">
      <c r="A6" s="22" t="s">
        <v>165</v>
      </c>
      <c r="B6" s="23">
        <v>1150</v>
      </c>
      <c r="C6" s="23">
        <v>1250</v>
      </c>
      <c r="E6" s="41" t="s">
        <v>171</v>
      </c>
      <c r="F6" s="41">
        <v>10</v>
      </c>
      <c r="G6" s="41">
        <v>10</v>
      </c>
    </row>
    <row r="7" spans="1:7" x14ac:dyDescent="0.25">
      <c r="A7" s="22" t="s">
        <v>166</v>
      </c>
      <c r="B7" s="23">
        <v>800</v>
      </c>
      <c r="C7" s="23">
        <v>950</v>
      </c>
      <c r="E7" s="41" t="s">
        <v>172</v>
      </c>
      <c r="F7" s="41">
        <v>0.93804541713315459</v>
      </c>
      <c r="G7" s="41"/>
    </row>
    <row r="8" spans="1:7" x14ac:dyDescent="0.25">
      <c r="A8" s="22" t="s">
        <v>167</v>
      </c>
      <c r="B8" s="23">
        <v>600</v>
      </c>
      <c r="C8" s="23">
        <v>650</v>
      </c>
      <c r="E8" s="41" t="s">
        <v>173</v>
      </c>
      <c r="F8" s="41">
        <v>0</v>
      </c>
      <c r="G8" s="41"/>
    </row>
    <row r="9" spans="1:7" x14ac:dyDescent="0.25">
      <c r="A9" s="22" t="s">
        <v>168</v>
      </c>
      <c r="B9" s="23">
        <v>750</v>
      </c>
      <c r="C9" s="23">
        <v>780</v>
      </c>
      <c r="E9" s="41" t="s">
        <v>174</v>
      </c>
      <c r="F9" s="41">
        <v>9</v>
      </c>
      <c r="G9" s="41"/>
    </row>
    <row r="10" spans="1:7" x14ac:dyDescent="0.25">
      <c r="A10" s="22" t="s">
        <v>169</v>
      </c>
      <c r="B10" s="23">
        <v>460</v>
      </c>
      <c r="C10" s="23">
        <v>800</v>
      </c>
      <c r="E10" s="41" t="s">
        <v>175</v>
      </c>
      <c r="F10" s="41">
        <v>4.6782153443630632</v>
      </c>
      <c r="G10" s="41"/>
    </row>
    <row r="11" spans="1:7" x14ac:dyDescent="0.25">
      <c r="A11" s="22">
        <v>10</v>
      </c>
      <c r="B11" s="23">
        <v>900</v>
      </c>
      <c r="C11" s="23">
        <v>1050</v>
      </c>
      <c r="E11" s="41" t="s">
        <v>176</v>
      </c>
      <c r="F11" s="41">
        <v>5.7755575248824716E-4</v>
      </c>
      <c r="G11" s="41"/>
    </row>
    <row r="12" spans="1:7" x14ac:dyDescent="0.25">
      <c r="E12" s="41" t="s">
        <v>177</v>
      </c>
      <c r="F12" s="41">
        <v>1.8331129326562374</v>
      </c>
      <c r="G12" s="41"/>
    </row>
    <row r="13" spans="1:7" x14ac:dyDescent="0.25">
      <c r="E13" s="41" t="s">
        <v>178</v>
      </c>
      <c r="F13" s="41">
        <v>1.1551115049764943E-3</v>
      </c>
      <c r="G13" s="41"/>
    </row>
    <row r="14" spans="1:7" ht="15.75" thickBot="1" x14ac:dyDescent="0.3">
      <c r="E14" s="42" t="s">
        <v>179</v>
      </c>
      <c r="F14" s="42">
        <v>2.2621571627982053</v>
      </c>
      <c r="G14" s="42"/>
    </row>
    <row r="16" spans="1:7" x14ac:dyDescent="0.25">
      <c r="B16" t="s">
        <v>203</v>
      </c>
      <c r="C16" t="s">
        <v>204</v>
      </c>
      <c r="D16" t="s">
        <v>205</v>
      </c>
      <c r="E16" t="s">
        <v>195</v>
      </c>
    </row>
    <row r="17" spans="1:5" x14ac:dyDescent="0.25">
      <c r="A17" t="s">
        <v>210</v>
      </c>
      <c r="B17">
        <v>20</v>
      </c>
      <c r="C17">
        <v>18</v>
      </c>
      <c r="D17">
        <v>2</v>
      </c>
      <c r="E17">
        <v>40</v>
      </c>
    </row>
    <row r="18" spans="1:5" x14ac:dyDescent="0.25">
      <c r="A18" t="s">
        <v>211</v>
      </c>
      <c r="B18">
        <v>20</v>
      </c>
      <c r="C18">
        <v>25</v>
      </c>
      <c r="D18">
        <v>8</v>
      </c>
      <c r="E18">
        <v>53</v>
      </c>
    </row>
    <row r="19" spans="1:5" x14ac:dyDescent="0.25">
      <c r="A19" t="s">
        <v>212</v>
      </c>
      <c r="B19">
        <v>14</v>
      </c>
      <c r="C19">
        <v>7</v>
      </c>
      <c r="D19">
        <v>16</v>
      </c>
      <c r="E19">
        <v>37</v>
      </c>
    </row>
    <row r="20" spans="1:5" x14ac:dyDescent="0.25">
      <c r="A20" t="s">
        <v>195</v>
      </c>
      <c r="B20">
        <v>54</v>
      </c>
      <c r="C20">
        <v>50</v>
      </c>
      <c r="D20">
        <v>26</v>
      </c>
      <c r="E20">
        <v>130</v>
      </c>
    </row>
    <row r="22" spans="1:5" x14ac:dyDescent="0.25">
      <c r="B22" t="s">
        <v>203</v>
      </c>
      <c r="C22" t="s">
        <v>204</v>
      </c>
      <c r="D22" t="s">
        <v>205</v>
      </c>
    </row>
    <row r="23" spans="1:5" x14ac:dyDescent="0.25">
      <c r="A23" t="s">
        <v>210</v>
      </c>
      <c r="B23">
        <f>($E17*B$20)/$E$20</f>
        <v>16.615384615384617</v>
      </c>
      <c r="C23">
        <f t="shared" ref="C23:D23" si="0">($E17*C$20)/$E$20</f>
        <v>15.384615384615385</v>
      </c>
      <c r="D23">
        <f t="shared" si="0"/>
        <v>8</v>
      </c>
    </row>
    <row r="24" spans="1:5" x14ac:dyDescent="0.25">
      <c r="A24" t="s">
        <v>211</v>
      </c>
      <c r="B24">
        <f t="shared" ref="B24:D24" si="1">($E18*B$20)/$E$20</f>
        <v>22.015384615384615</v>
      </c>
      <c r="C24">
        <f t="shared" si="1"/>
        <v>20.384615384615383</v>
      </c>
      <c r="D24">
        <f t="shared" si="1"/>
        <v>10.6</v>
      </c>
    </row>
    <row r="25" spans="1:5" x14ac:dyDescent="0.25">
      <c r="A25" t="s">
        <v>212</v>
      </c>
      <c r="B25">
        <f t="shared" ref="B25:D25" si="2">($E19*B$20)/$E$20</f>
        <v>15.36923076923077</v>
      </c>
      <c r="C25">
        <f t="shared" si="2"/>
        <v>14.23076923076923</v>
      </c>
      <c r="D25">
        <f t="shared" si="2"/>
        <v>7.4</v>
      </c>
    </row>
    <row r="27" spans="1:5" x14ac:dyDescent="0.25">
      <c r="A27" t="s">
        <v>213</v>
      </c>
      <c r="B27">
        <f>CHITEST(B17:D19, B23:D25)</f>
        <v>2.7714017762678334E-4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/>
  </sheetViews>
  <sheetFormatPr defaultRowHeight="15" x14ac:dyDescent="0.25"/>
  <cols>
    <col min="1" max="1" width="18.28515625" bestFit="1" customWidth="1"/>
  </cols>
  <sheetData>
    <row r="1" spans="1:5" x14ac:dyDescent="0.25">
      <c r="A1" t="s">
        <v>181</v>
      </c>
      <c r="B1" t="s">
        <v>182</v>
      </c>
      <c r="C1" t="s">
        <v>183</v>
      </c>
    </row>
    <row r="2" spans="1:5" x14ac:dyDescent="0.25">
      <c r="A2">
        <v>788</v>
      </c>
      <c r="B2">
        <v>768</v>
      </c>
      <c r="C2">
        <v>858</v>
      </c>
    </row>
    <row r="3" spans="1:5" x14ac:dyDescent="0.25">
      <c r="A3">
        <v>698</v>
      </c>
      <c r="B3">
        <v>933</v>
      </c>
      <c r="C3">
        <v>978</v>
      </c>
    </row>
    <row r="4" spans="1:5" x14ac:dyDescent="0.25">
      <c r="A4">
        <v>594</v>
      </c>
      <c r="B4">
        <v>998</v>
      </c>
      <c r="C4">
        <v>1037</v>
      </c>
    </row>
    <row r="5" spans="1:5" x14ac:dyDescent="0.25">
      <c r="A5">
        <v>509</v>
      </c>
      <c r="B5">
        <v>1177</v>
      </c>
      <c r="C5">
        <v>1122</v>
      </c>
    </row>
    <row r="6" spans="1:5" x14ac:dyDescent="0.25">
      <c r="A6">
        <v>623</v>
      </c>
      <c r="B6">
        <v>628</v>
      </c>
      <c r="C6">
        <v>609</v>
      </c>
    </row>
    <row r="7" spans="1:5" x14ac:dyDescent="0.25">
      <c r="A7">
        <v>469</v>
      </c>
      <c r="B7">
        <v>733</v>
      </c>
      <c r="C7">
        <v>693</v>
      </c>
    </row>
    <row r="9" spans="1:5" x14ac:dyDescent="0.25">
      <c r="A9" t="s">
        <v>184</v>
      </c>
    </row>
    <row r="11" spans="1:5" ht="15.75" thickBot="1" x14ac:dyDescent="0.3">
      <c r="A11" t="s">
        <v>185</v>
      </c>
    </row>
    <row r="12" spans="1:5" x14ac:dyDescent="0.25">
      <c r="A12" s="49" t="s">
        <v>186</v>
      </c>
      <c r="B12" s="49" t="s">
        <v>95</v>
      </c>
      <c r="C12" s="49" t="s">
        <v>94</v>
      </c>
      <c r="D12" s="49" t="s">
        <v>83</v>
      </c>
      <c r="E12" s="49" t="s">
        <v>102</v>
      </c>
    </row>
    <row r="13" spans="1:5" x14ac:dyDescent="0.25">
      <c r="A13" s="41" t="s">
        <v>181</v>
      </c>
      <c r="B13" s="41">
        <v>6</v>
      </c>
      <c r="C13" s="41">
        <v>3681</v>
      </c>
      <c r="D13" s="41">
        <v>613.5</v>
      </c>
      <c r="E13" s="41">
        <v>13972.3</v>
      </c>
    </row>
    <row r="14" spans="1:5" x14ac:dyDescent="0.25">
      <c r="A14" s="41" t="s">
        <v>182</v>
      </c>
      <c r="B14" s="41">
        <v>6</v>
      </c>
      <c r="C14" s="41">
        <v>5237</v>
      </c>
      <c r="D14" s="41">
        <v>872.83333333333337</v>
      </c>
      <c r="E14" s="41">
        <v>40458.166666666606</v>
      </c>
    </row>
    <row r="15" spans="1:5" ht="15.75" thickBot="1" x14ac:dyDescent="0.3">
      <c r="A15" s="42" t="s">
        <v>183</v>
      </c>
      <c r="B15" s="42">
        <v>6</v>
      </c>
      <c r="C15" s="42">
        <v>5297</v>
      </c>
      <c r="D15" s="42">
        <v>882.83333333333337</v>
      </c>
      <c r="E15" s="42">
        <v>40332.566666666607</v>
      </c>
    </row>
    <row r="18" spans="1:7" ht="15.75" thickBot="1" x14ac:dyDescent="0.3">
      <c r="A18" t="s">
        <v>187</v>
      </c>
    </row>
    <row r="19" spans="1:7" x14ac:dyDescent="0.25">
      <c r="A19" s="49" t="s">
        <v>188</v>
      </c>
      <c r="B19" s="49" t="s">
        <v>189</v>
      </c>
      <c r="C19" s="49" t="s">
        <v>174</v>
      </c>
      <c r="D19" s="49" t="s">
        <v>190</v>
      </c>
      <c r="E19" s="49" t="s">
        <v>180</v>
      </c>
      <c r="F19" s="49" t="s">
        <v>191</v>
      </c>
      <c r="G19" s="49" t="s">
        <v>192</v>
      </c>
    </row>
    <row r="20" spans="1:7" x14ac:dyDescent="0.25">
      <c r="A20" s="41" t="s">
        <v>193</v>
      </c>
      <c r="B20" s="41">
        <v>279788.44444444438</v>
      </c>
      <c r="C20" s="41">
        <v>2</v>
      </c>
      <c r="D20" s="41">
        <v>139894.22222222219</v>
      </c>
      <c r="E20" s="41">
        <v>4.4287593157810115</v>
      </c>
      <c r="F20" s="41">
        <v>3.079604215592666E-2</v>
      </c>
      <c r="G20" s="41">
        <v>3.6823203436732408</v>
      </c>
    </row>
    <row r="21" spans="1:7" x14ac:dyDescent="0.25">
      <c r="A21" s="41" t="s">
        <v>194</v>
      </c>
      <c r="B21" s="41">
        <v>473815.16666666674</v>
      </c>
      <c r="C21" s="41">
        <v>15</v>
      </c>
      <c r="D21" s="41">
        <v>31587.677777777782</v>
      </c>
      <c r="E21" s="41"/>
      <c r="F21" s="41"/>
      <c r="G21" s="41"/>
    </row>
    <row r="22" spans="1:7" x14ac:dyDescent="0.25">
      <c r="A22" s="41"/>
      <c r="B22" s="41"/>
      <c r="C22" s="41"/>
      <c r="D22" s="41"/>
      <c r="E22" s="41"/>
      <c r="F22" s="41"/>
      <c r="G22" s="41"/>
    </row>
    <row r="23" spans="1:7" ht="15.75" thickBot="1" x14ac:dyDescent="0.3">
      <c r="A23" s="42" t="s">
        <v>195</v>
      </c>
      <c r="B23" s="42">
        <v>753603.61111111112</v>
      </c>
      <c r="C23" s="42">
        <v>17</v>
      </c>
      <c r="D23" s="42"/>
      <c r="E23" s="42"/>
      <c r="F23" s="42"/>
      <c r="G23" s="42"/>
    </row>
    <row r="26" spans="1:7" x14ac:dyDescent="0.25">
      <c r="B26" t="s">
        <v>196</v>
      </c>
      <c r="C26" t="s">
        <v>197</v>
      </c>
      <c r="D26" t="s">
        <v>198</v>
      </c>
    </row>
    <row r="27" spans="1:7" x14ac:dyDescent="0.25">
      <c r="A27" t="s">
        <v>181</v>
      </c>
      <c r="B27">
        <v>20</v>
      </c>
      <c r="C27">
        <v>17</v>
      </c>
      <c r="D27">
        <v>35</v>
      </c>
    </row>
    <row r="28" spans="1:7" x14ac:dyDescent="0.25">
      <c r="A28" t="s">
        <v>182</v>
      </c>
      <c r="B28">
        <v>24</v>
      </c>
      <c r="C28">
        <v>23</v>
      </c>
      <c r="D28">
        <v>31</v>
      </c>
    </row>
    <row r="29" spans="1:7" x14ac:dyDescent="0.25">
      <c r="A29" t="s">
        <v>183</v>
      </c>
      <c r="B29">
        <v>25</v>
      </c>
      <c r="C29">
        <v>14</v>
      </c>
      <c r="D29">
        <v>42</v>
      </c>
    </row>
    <row r="31" spans="1:7" x14ac:dyDescent="0.25">
      <c r="A31" t="s">
        <v>199</v>
      </c>
    </row>
    <row r="32" spans="1:7" ht="15.75" thickBot="1" x14ac:dyDescent="0.3"/>
    <row r="33" spans="1:7" x14ac:dyDescent="0.25">
      <c r="A33" s="49" t="s">
        <v>185</v>
      </c>
      <c r="B33" s="49" t="s">
        <v>95</v>
      </c>
      <c r="C33" s="49" t="s">
        <v>94</v>
      </c>
      <c r="D33" s="49" t="s">
        <v>83</v>
      </c>
      <c r="E33" s="49" t="s">
        <v>102</v>
      </c>
    </row>
    <row r="34" spans="1:7" x14ac:dyDescent="0.25">
      <c r="A34" s="41" t="s">
        <v>181</v>
      </c>
      <c r="B34" s="41">
        <v>3</v>
      </c>
      <c r="C34" s="41">
        <v>72</v>
      </c>
      <c r="D34" s="41">
        <v>24</v>
      </c>
      <c r="E34" s="41">
        <v>93</v>
      </c>
    </row>
    <row r="35" spans="1:7" x14ac:dyDescent="0.25">
      <c r="A35" s="41" t="s">
        <v>182</v>
      </c>
      <c r="B35" s="41">
        <v>3</v>
      </c>
      <c r="C35" s="41">
        <v>78</v>
      </c>
      <c r="D35" s="41">
        <v>26</v>
      </c>
      <c r="E35" s="41">
        <v>19</v>
      </c>
    </row>
    <row r="36" spans="1:7" x14ac:dyDescent="0.25">
      <c r="A36" s="41" t="s">
        <v>183</v>
      </c>
      <c r="B36" s="41">
        <v>3</v>
      </c>
      <c r="C36" s="41">
        <v>81</v>
      </c>
      <c r="D36" s="41">
        <v>27</v>
      </c>
      <c r="E36" s="41">
        <v>199</v>
      </c>
    </row>
    <row r="37" spans="1:7" x14ac:dyDescent="0.25">
      <c r="A37" s="41"/>
      <c r="B37" s="41"/>
      <c r="C37" s="41"/>
      <c r="D37" s="41"/>
      <c r="E37" s="41"/>
    </row>
    <row r="38" spans="1:7" x14ac:dyDescent="0.25">
      <c r="A38" s="41" t="s">
        <v>196</v>
      </c>
      <c r="B38" s="41">
        <v>3</v>
      </c>
      <c r="C38" s="41">
        <v>69</v>
      </c>
      <c r="D38" s="41">
        <v>23</v>
      </c>
      <c r="E38" s="41">
        <v>7</v>
      </c>
    </row>
    <row r="39" spans="1:7" x14ac:dyDescent="0.25">
      <c r="A39" s="41" t="s">
        <v>197</v>
      </c>
      <c r="B39" s="41">
        <v>3</v>
      </c>
      <c r="C39" s="41">
        <v>54</v>
      </c>
      <c r="D39" s="41">
        <v>18</v>
      </c>
      <c r="E39" s="41">
        <v>21</v>
      </c>
    </row>
    <row r="40" spans="1:7" ht="15.75" thickBot="1" x14ac:dyDescent="0.3">
      <c r="A40" s="42" t="s">
        <v>198</v>
      </c>
      <c r="B40" s="42">
        <v>3</v>
      </c>
      <c r="C40" s="42">
        <v>108</v>
      </c>
      <c r="D40" s="42">
        <v>36</v>
      </c>
      <c r="E40" s="42">
        <v>31</v>
      </c>
    </row>
    <row r="43" spans="1:7" ht="15.75" thickBot="1" x14ac:dyDescent="0.3">
      <c r="A43" t="s">
        <v>187</v>
      </c>
    </row>
    <row r="44" spans="1:7" x14ac:dyDescent="0.25">
      <c r="A44" s="49" t="s">
        <v>188</v>
      </c>
      <c r="B44" s="49" t="s">
        <v>189</v>
      </c>
      <c r="C44" s="49" t="s">
        <v>174</v>
      </c>
      <c r="D44" s="49" t="s">
        <v>190</v>
      </c>
      <c r="E44" s="49" t="s">
        <v>180</v>
      </c>
      <c r="F44" s="49" t="s">
        <v>191</v>
      </c>
      <c r="G44" s="49" t="s">
        <v>192</v>
      </c>
    </row>
    <row r="45" spans="1:7" x14ac:dyDescent="0.25">
      <c r="A45" s="41" t="s">
        <v>200</v>
      </c>
      <c r="B45" s="41">
        <v>14</v>
      </c>
      <c r="C45" s="41">
        <v>2</v>
      </c>
      <c r="D45" s="41">
        <v>7</v>
      </c>
      <c r="E45" s="41">
        <v>0.26923076923076922</v>
      </c>
      <c r="F45" s="41">
        <v>0.77678827923010629</v>
      </c>
      <c r="G45" s="41">
        <v>6.9442719099991574</v>
      </c>
    </row>
    <row r="46" spans="1:7" x14ac:dyDescent="0.25">
      <c r="A46" s="41" t="s">
        <v>201</v>
      </c>
      <c r="B46" s="41">
        <v>518</v>
      </c>
      <c r="C46" s="41">
        <v>2</v>
      </c>
      <c r="D46" s="41">
        <v>259</v>
      </c>
      <c r="E46" s="41">
        <v>9.9615384615384617</v>
      </c>
      <c r="F46" s="41">
        <v>2.7956700199543012E-2</v>
      </c>
      <c r="G46" s="41">
        <v>6.9442719099991574</v>
      </c>
    </row>
    <row r="47" spans="1:7" x14ac:dyDescent="0.25">
      <c r="A47" s="41" t="s">
        <v>202</v>
      </c>
      <c r="B47" s="41">
        <v>104</v>
      </c>
      <c r="C47" s="41">
        <v>4</v>
      </c>
      <c r="D47" s="41">
        <v>26</v>
      </c>
      <c r="E47" s="41"/>
      <c r="F47" s="41"/>
      <c r="G47" s="41"/>
    </row>
    <row r="48" spans="1:7" x14ac:dyDescent="0.25">
      <c r="A48" s="41"/>
      <c r="B48" s="41"/>
      <c r="C48" s="41"/>
      <c r="D48" s="41"/>
      <c r="E48" s="41"/>
      <c r="F48" s="41"/>
      <c r="G48" s="41"/>
    </row>
    <row r="49" spans="1:7" ht="15.75" thickBot="1" x14ac:dyDescent="0.3">
      <c r="A49" s="42" t="s">
        <v>195</v>
      </c>
      <c r="B49" s="42">
        <v>636</v>
      </c>
      <c r="C49" s="42">
        <v>8</v>
      </c>
      <c r="D49" s="42"/>
      <c r="E49" s="42"/>
      <c r="F49" s="42"/>
      <c r="G49" s="42"/>
    </row>
    <row r="52" spans="1:7" x14ac:dyDescent="0.25">
      <c r="B52" t="s">
        <v>203</v>
      </c>
      <c r="C52" t="s">
        <v>204</v>
      </c>
      <c r="D52" t="s">
        <v>205</v>
      </c>
    </row>
    <row r="53" spans="1:7" x14ac:dyDescent="0.25">
      <c r="A53" t="s">
        <v>181</v>
      </c>
      <c r="B53">
        <v>940</v>
      </c>
      <c r="C53">
        <v>1260</v>
      </c>
      <c r="D53">
        <v>1220</v>
      </c>
    </row>
    <row r="54" spans="1:7" x14ac:dyDescent="0.25">
      <c r="B54">
        <v>1020</v>
      </c>
      <c r="C54">
        <v>1470</v>
      </c>
      <c r="D54">
        <v>1390</v>
      </c>
    </row>
    <row r="55" spans="1:7" x14ac:dyDescent="0.25">
      <c r="A55" t="s">
        <v>182</v>
      </c>
      <c r="B55">
        <v>1250</v>
      </c>
      <c r="C55">
        <v>1540</v>
      </c>
      <c r="D55">
        <v>1960</v>
      </c>
    </row>
    <row r="56" spans="1:7" x14ac:dyDescent="0.25">
      <c r="B56">
        <v>1580</v>
      </c>
      <c r="C56">
        <v>2000</v>
      </c>
      <c r="D56">
        <v>1720</v>
      </c>
    </row>
    <row r="57" spans="1:7" x14ac:dyDescent="0.25">
      <c r="A57" t="s">
        <v>183</v>
      </c>
      <c r="B57">
        <v>1190</v>
      </c>
      <c r="C57">
        <v>1870</v>
      </c>
      <c r="D57">
        <v>2080</v>
      </c>
    </row>
    <row r="58" spans="1:7" x14ac:dyDescent="0.25">
      <c r="B58">
        <v>1400</v>
      </c>
      <c r="C58">
        <v>2360</v>
      </c>
      <c r="D58">
        <v>2250</v>
      </c>
    </row>
    <row r="60" spans="1:7" x14ac:dyDescent="0.25">
      <c r="A60" t="s">
        <v>206</v>
      </c>
    </row>
    <row r="62" spans="1:7" x14ac:dyDescent="0.25">
      <c r="A62" t="s">
        <v>185</v>
      </c>
      <c r="B62" t="s">
        <v>203</v>
      </c>
      <c r="C62" t="s">
        <v>204</v>
      </c>
      <c r="D62" t="s">
        <v>205</v>
      </c>
      <c r="E62" t="s">
        <v>195</v>
      </c>
    </row>
    <row r="63" spans="1:7" ht="15.75" thickBot="1" x14ac:dyDescent="0.3">
      <c r="A63" s="55" t="s">
        <v>181</v>
      </c>
      <c r="B63" s="55"/>
      <c r="C63" s="55"/>
      <c r="D63" s="55"/>
      <c r="E63" s="55"/>
    </row>
    <row r="64" spans="1:7" x14ac:dyDescent="0.25">
      <c r="A64" s="41" t="s">
        <v>95</v>
      </c>
      <c r="B64" s="41">
        <v>2</v>
      </c>
      <c r="C64" s="41">
        <v>2</v>
      </c>
      <c r="D64" s="41">
        <v>2</v>
      </c>
      <c r="E64" s="41">
        <v>6</v>
      </c>
    </row>
    <row r="65" spans="1:5" x14ac:dyDescent="0.25">
      <c r="A65" s="41" t="s">
        <v>94</v>
      </c>
      <c r="B65" s="41">
        <v>1960</v>
      </c>
      <c r="C65" s="41">
        <v>2730</v>
      </c>
      <c r="D65" s="41">
        <v>2610</v>
      </c>
      <c r="E65" s="41">
        <v>7300</v>
      </c>
    </row>
    <row r="66" spans="1:5" x14ac:dyDescent="0.25">
      <c r="A66" s="41" t="s">
        <v>83</v>
      </c>
      <c r="B66" s="41">
        <v>980</v>
      </c>
      <c r="C66" s="41">
        <v>1365</v>
      </c>
      <c r="D66" s="41">
        <v>1305</v>
      </c>
      <c r="E66" s="41">
        <v>1216.6666666666667</v>
      </c>
    </row>
    <row r="67" spans="1:5" x14ac:dyDescent="0.25">
      <c r="A67" s="41" t="s">
        <v>102</v>
      </c>
      <c r="B67" s="41">
        <v>3200</v>
      </c>
      <c r="C67" s="41">
        <v>22050</v>
      </c>
      <c r="D67" s="41">
        <v>14450</v>
      </c>
      <c r="E67" s="41">
        <v>42266.666666666788</v>
      </c>
    </row>
    <row r="68" spans="1:5" x14ac:dyDescent="0.25">
      <c r="A68" s="41"/>
      <c r="B68" s="41"/>
      <c r="C68" s="41"/>
      <c r="D68" s="41"/>
      <c r="E68" s="41"/>
    </row>
    <row r="69" spans="1:5" ht="15.75" thickBot="1" x14ac:dyDescent="0.3">
      <c r="A69" s="55" t="s">
        <v>182</v>
      </c>
      <c r="B69" s="55"/>
      <c r="C69" s="55"/>
      <c r="D69" s="55"/>
      <c r="E69" s="55"/>
    </row>
    <row r="70" spans="1:5" x14ac:dyDescent="0.25">
      <c r="A70" s="41" t="s">
        <v>95</v>
      </c>
      <c r="B70" s="41">
        <v>2</v>
      </c>
      <c r="C70" s="41">
        <v>2</v>
      </c>
      <c r="D70" s="41">
        <v>2</v>
      </c>
      <c r="E70" s="41">
        <v>6</v>
      </c>
    </row>
    <row r="71" spans="1:5" x14ac:dyDescent="0.25">
      <c r="A71" s="41" t="s">
        <v>94</v>
      </c>
      <c r="B71" s="41">
        <v>2830</v>
      </c>
      <c r="C71" s="41">
        <v>3540</v>
      </c>
      <c r="D71" s="41">
        <v>3680</v>
      </c>
      <c r="E71" s="41">
        <v>10050</v>
      </c>
    </row>
    <row r="72" spans="1:5" x14ac:dyDescent="0.25">
      <c r="A72" s="41" t="s">
        <v>83</v>
      </c>
      <c r="B72" s="41">
        <v>1415</v>
      </c>
      <c r="C72" s="41">
        <v>1770</v>
      </c>
      <c r="D72" s="41">
        <v>1840</v>
      </c>
      <c r="E72" s="41">
        <v>1675</v>
      </c>
    </row>
    <row r="73" spans="1:5" x14ac:dyDescent="0.25">
      <c r="A73" s="41" t="s">
        <v>102</v>
      </c>
      <c r="B73" s="41">
        <v>54450</v>
      </c>
      <c r="C73" s="41">
        <v>105800</v>
      </c>
      <c r="D73" s="41">
        <v>28800</v>
      </c>
      <c r="E73" s="41">
        <v>79350</v>
      </c>
    </row>
    <row r="74" spans="1:5" x14ac:dyDescent="0.25">
      <c r="A74" s="41"/>
      <c r="B74" s="41"/>
      <c r="C74" s="41"/>
      <c r="D74" s="41"/>
      <c r="E74" s="41"/>
    </row>
    <row r="75" spans="1:5" ht="15.75" thickBot="1" x14ac:dyDescent="0.3">
      <c r="A75" s="55" t="s">
        <v>183</v>
      </c>
      <c r="B75" s="55"/>
      <c r="C75" s="55"/>
      <c r="D75" s="55"/>
      <c r="E75" s="55"/>
    </row>
    <row r="76" spans="1:5" x14ac:dyDescent="0.25">
      <c r="A76" s="41" t="s">
        <v>95</v>
      </c>
      <c r="B76" s="41">
        <v>2</v>
      </c>
      <c r="C76" s="41">
        <v>2</v>
      </c>
      <c r="D76" s="41">
        <v>2</v>
      </c>
      <c r="E76" s="41">
        <v>6</v>
      </c>
    </row>
    <row r="77" spans="1:5" x14ac:dyDescent="0.25">
      <c r="A77" s="41" t="s">
        <v>94</v>
      </c>
      <c r="B77" s="41">
        <v>2590</v>
      </c>
      <c r="C77" s="41">
        <v>4230</v>
      </c>
      <c r="D77" s="41">
        <v>4330</v>
      </c>
      <c r="E77" s="41">
        <v>11150</v>
      </c>
    </row>
    <row r="78" spans="1:5" x14ac:dyDescent="0.25">
      <c r="A78" s="41" t="s">
        <v>83</v>
      </c>
      <c r="B78" s="41">
        <v>1295</v>
      </c>
      <c r="C78" s="41">
        <v>2115</v>
      </c>
      <c r="D78" s="41">
        <v>2165</v>
      </c>
      <c r="E78" s="41">
        <v>1858.3333333333333</v>
      </c>
    </row>
    <row r="79" spans="1:5" x14ac:dyDescent="0.25">
      <c r="A79" s="41" t="s">
        <v>102</v>
      </c>
      <c r="B79" s="41">
        <v>22050</v>
      </c>
      <c r="C79" s="41">
        <v>120050</v>
      </c>
      <c r="D79" s="41">
        <v>14450</v>
      </c>
      <c r="E79" s="41">
        <v>222216.66666666642</v>
      </c>
    </row>
    <row r="80" spans="1:5" x14ac:dyDescent="0.25">
      <c r="A80" s="41"/>
      <c r="B80" s="41"/>
      <c r="C80" s="41"/>
      <c r="D80" s="41"/>
      <c r="E80" s="41"/>
    </row>
    <row r="81" spans="1:7" ht="15.75" thickBot="1" x14ac:dyDescent="0.3">
      <c r="A81" s="55" t="s">
        <v>195</v>
      </c>
      <c r="B81" s="55"/>
      <c r="C81" s="55"/>
      <c r="D81" s="55"/>
      <c r="E81" s="55"/>
    </row>
    <row r="82" spans="1:7" x14ac:dyDescent="0.25">
      <c r="A82" s="41" t="s">
        <v>95</v>
      </c>
      <c r="B82" s="41">
        <v>6</v>
      </c>
      <c r="C82" s="41">
        <v>6</v>
      </c>
      <c r="D82" s="41">
        <v>6</v>
      </c>
      <c r="E82" s="41"/>
    </row>
    <row r="83" spans="1:7" x14ac:dyDescent="0.25">
      <c r="A83" s="41" t="s">
        <v>94</v>
      </c>
      <c r="B83" s="41">
        <v>7380</v>
      </c>
      <c r="C83" s="41">
        <v>10500</v>
      </c>
      <c r="D83" s="41">
        <v>10620</v>
      </c>
      <c r="E83" s="41"/>
    </row>
    <row r="84" spans="1:7" x14ac:dyDescent="0.25">
      <c r="A84" s="41" t="s">
        <v>83</v>
      </c>
      <c r="B84" s="41">
        <v>1230</v>
      </c>
      <c r="C84" s="41">
        <v>1750</v>
      </c>
      <c r="D84" s="41">
        <v>1770</v>
      </c>
      <c r="E84" s="41"/>
    </row>
    <row r="85" spans="1:7" x14ac:dyDescent="0.25">
      <c r="A85" s="41" t="s">
        <v>102</v>
      </c>
      <c r="B85" s="41">
        <v>56320</v>
      </c>
      <c r="C85" s="41">
        <v>162320</v>
      </c>
      <c r="D85" s="41">
        <v>162400</v>
      </c>
      <c r="E85" s="41"/>
    </row>
    <row r="86" spans="1:7" x14ac:dyDescent="0.25">
      <c r="A86" s="41"/>
      <c r="B86" s="41"/>
      <c r="C86" s="41"/>
      <c r="D86" s="41"/>
      <c r="E86" s="41"/>
    </row>
    <row r="88" spans="1:7" ht="15.75" thickBot="1" x14ac:dyDescent="0.3">
      <c r="A88" t="s">
        <v>187</v>
      </c>
    </row>
    <row r="89" spans="1:7" x14ac:dyDescent="0.25">
      <c r="A89" s="49" t="s">
        <v>188</v>
      </c>
      <c r="B89" s="49" t="s">
        <v>189</v>
      </c>
      <c r="C89" s="49" t="s">
        <v>174</v>
      </c>
      <c r="D89" s="49" t="s">
        <v>190</v>
      </c>
      <c r="E89" s="49" t="s">
        <v>180</v>
      </c>
      <c r="F89" s="49" t="s">
        <v>191</v>
      </c>
      <c r="G89" s="49" t="s">
        <v>192</v>
      </c>
    </row>
    <row r="90" spans="1:7" x14ac:dyDescent="0.25">
      <c r="A90" s="41" t="s">
        <v>207</v>
      </c>
      <c r="B90" s="41">
        <v>1310833.333333333</v>
      </c>
      <c r="C90" s="41">
        <v>2</v>
      </c>
      <c r="D90" s="41">
        <v>655416.66666666651</v>
      </c>
      <c r="E90" s="41">
        <v>15.309499091616919</v>
      </c>
      <c r="F90" s="41">
        <v>1.2691869239274543E-3</v>
      </c>
      <c r="G90" s="41">
        <v>4.2564947290937507</v>
      </c>
    </row>
    <row r="91" spans="1:7" x14ac:dyDescent="0.25">
      <c r="A91" s="41" t="s">
        <v>201</v>
      </c>
      <c r="B91" s="41">
        <v>1124799.9999999995</v>
      </c>
      <c r="C91" s="41">
        <v>2</v>
      </c>
      <c r="D91" s="41">
        <v>562399.99999999977</v>
      </c>
      <c r="E91" s="41">
        <v>13.136776537762778</v>
      </c>
      <c r="F91" s="41">
        <v>2.1407692430412614E-3</v>
      </c>
      <c r="G91" s="41">
        <v>4.2564947290937507</v>
      </c>
    </row>
    <row r="92" spans="1:7" x14ac:dyDescent="0.25">
      <c r="A92" s="41" t="s">
        <v>208</v>
      </c>
      <c r="B92" s="41">
        <v>209066.66666666698</v>
      </c>
      <c r="C92" s="41">
        <v>4</v>
      </c>
      <c r="D92" s="41">
        <v>52266.666666666744</v>
      </c>
      <c r="E92" s="41">
        <v>1.2208668569945516</v>
      </c>
      <c r="F92" s="41">
        <v>0.36724139074635914</v>
      </c>
      <c r="G92" s="41">
        <v>3.6330885114190816</v>
      </c>
    </row>
    <row r="93" spans="1:7" x14ac:dyDescent="0.25">
      <c r="A93" s="41" t="s">
        <v>209</v>
      </c>
      <c r="B93" s="41">
        <v>385300</v>
      </c>
      <c r="C93" s="41">
        <v>9</v>
      </c>
      <c r="D93" s="41">
        <v>42811.111111111109</v>
      </c>
      <c r="E93" s="41"/>
      <c r="F93" s="41"/>
      <c r="G93" s="41"/>
    </row>
    <row r="94" spans="1:7" x14ac:dyDescent="0.25">
      <c r="A94" s="41"/>
      <c r="B94" s="41"/>
      <c r="C94" s="41"/>
      <c r="D94" s="41"/>
      <c r="E94" s="41"/>
      <c r="F94" s="41"/>
      <c r="G94" s="41"/>
    </row>
    <row r="95" spans="1:7" ht="15.75" thickBot="1" x14ac:dyDescent="0.3">
      <c r="A95" s="42" t="s">
        <v>195</v>
      </c>
      <c r="B95" s="42">
        <v>3029999.9999999995</v>
      </c>
      <c r="C95" s="42">
        <v>17</v>
      </c>
      <c r="D95" s="42"/>
      <c r="E95" s="42"/>
      <c r="F95" s="42"/>
      <c r="G95" s="4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workbookViewId="0"/>
  </sheetViews>
  <sheetFormatPr defaultRowHeight="15" outlineLevelRow="1" x14ac:dyDescent="0.25"/>
  <cols>
    <col min="1" max="1" width="2.28515625" customWidth="1"/>
    <col min="2" max="2" width="6.5703125" customWidth="1"/>
    <col min="3" max="3" width="20" customWidth="1"/>
    <col min="4" max="4" width="14.42578125" bestFit="1" customWidth="1"/>
    <col min="5" max="5" width="11.28515625" bestFit="1" customWidth="1"/>
    <col min="6" max="6" width="14.85546875" bestFit="1" customWidth="1"/>
    <col min="7" max="7" width="8.42578125" customWidth="1"/>
  </cols>
  <sheetData>
    <row r="1" spans="1:5" x14ac:dyDescent="0.25">
      <c r="A1" s="58" t="s">
        <v>292</v>
      </c>
    </row>
    <row r="2" spans="1:5" x14ac:dyDescent="0.25">
      <c r="A2" s="58" t="s">
        <v>293</v>
      </c>
    </row>
    <row r="3" spans="1:5" x14ac:dyDescent="0.25">
      <c r="A3" s="58" t="s">
        <v>294</v>
      </c>
    </row>
    <row r="4" spans="1:5" x14ac:dyDescent="0.25">
      <c r="A4" s="58" t="s">
        <v>295</v>
      </c>
    </row>
    <row r="5" spans="1:5" x14ac:dyDescent="0.25">
      <c r="A5" s="58" t="s">
        <v>296</v>
      </c>
    </row>
    <row r="6" spans="1:5" hidden="1" outlineLevel="1" x14ac:dyDescent="0.25">
      <c r="A6" s="58"/>
      <c r="B6" t="s">
        <v>297</v>
      </c>
    </row>
    <row r="7" spans="1:5" hidden="1" outlineLevel="1" x14ac:dyDescent="0.25">
      <c r="A7" s="58"/>
      <c r="B7" t="s">
        <v>298</v>
      </c>
    </row>
    <row r="8" spans="1:5" hidden="1" outlineLevel="1" x14ac:dyDescent="0.25">
      <c r="A8" s="58"/>
      <c r="B8" t="s">
        <v>299</v>
      </c>
    </row>
    <row r="9" spans="1:5" collapsed="1" x14ac:dyDescent="0.25">
      <c r="A9" s="58" t="s">
        <v>300</v>
      </c>
    </row>
    <row r="10" spans="1:5" hidden="1" outlineLevel="1" x14ac:dyDescent="0.25">
      <c r="B10" t="s">
        <v>301</v>
      </c>
    </row>
    <row r="11" spans="1:5" hidden="1" outlineLevel="1" x14ac:dyDescent="0.25">
      <c r="B11" t="s">
        <v>302</v>
      </c>
    </row>
    <row r="12" spans="1:5" hidden="1" outlineLevel="1" x14ac:dyDescent="0.25">
      <c r="B12" t="s">
        <v>303</v>
      </c>
    </row>
    <row r="13" spans="1:5" collapsed="1" x14ac:dyDescent="0.25"/>
    <row r="14" spans="1:5" ht="15.75" thickBot="1" x14ac:dyDescent="0.3">
      <c r="A14" t="s">
        <v>304</v>
      </c>
    </row>
    <row r="15" spans="1:5" ht="15.75" thickBot="1" x14ac:dyDescent="0.3">
      <c r="B15" s="60" t="s">
        <v>305</v>
      </c>
      <c r="C15" s="60" t="s">
        <v>306</v>
      </c>
      <c r="D15" s="60" t="s">
        <v>307</v>
      </c>
      <c r="E15" s="60" t="s">
        <v>308</v>
      </c>
    </row>
    <row r="16" spans="1:5" ht="15.75" thickBot="1" x14ac:dyDescent="0.3">
      <c r="B16" s="59" t="s">
        <v>315</v>
      </c>
      <c r="C16" s="59" t="s">
        <v>289</v>
      </c>
      <c r="D16" s="62">
        <v>975</v>
      </c>
      <c r="E16" s="62">
        <v>975</v>
      </c>
    </row>
    <row r="19" spans="1:7" ht="15.75" thickBot="1" x14ac:dyDescent="0.3">
      <c r="A19" t="s">
        <v>309</v>
      </c>
    </row>
    <row r="20" spans="1:7" ht="15.75" thickBot="1" x14ac:dyDescent="0.3">
      <c r="B20" s="60" t="s">
        <v>305</v>
      </c>
      <c r="C20" s="60" t="s">
        <v>306</v>
      </c>
      <c r="D20" s="60" t="s">
        <v>307</v>
      </c>
      <c r="E20" s="60" t="s">
        <v>308</v>
      </c>
      <c r="F20" s="60" t="s">
        <v>310</v>
      </c>
    </row>
    <row r="21" spans="1:7" x14ac:dyDescent="0.25">
      <c r="B21" s="61" t="s">
        <v>316</v>
      </c>
      <c r="C21" s="61" t="s">
        <v>289</v>
      </c>
      <c r="D21" s="63">
        <v>150</v>
      </c>
      <c r="E21" s="63">
        <v>150</v>
      </c>
      <c r="F21" s="61" t="s">
        <v>317</v>
      </c>
    </row>
    <row r="22" spans="1:7" ht="15.75" thickBot="1" x14ac:dyDescent="0.3">
      <c r="B22" s="59" t="s">
        <v>318</v>
      </c>
      <c r="C22" s="59" t="s">
        <v>289</v>
      </c>
      <c r="D22" s="62">
        <v>75.000000000000014</v>
      </c>
      <c r="E22" s="62">
        <v>75.000000000000014</v>
      </c>
      <c r="F22" s="59" t="s">
        <v>317</v>
      </c>
    </row>
    <row r="25" spans="1:7" ht="15.75" thickBot="1" x14ac:dyDescent="0.3">
      <c r="A25" t="s">
        <v>311</v>
      </c>
    </row>
    <row r="26" spans="1:7" ht="15.75" thickBot="1" x14ac:dyDescent="0.3">
      <c r="B26" s="60" t="s">
        <v>305</v>
      </c>
      <c r="C26" s="60" t="s">
        <v>306</v>
      </c>
      <c r="D26" s="60" t="s">
        <v>312</v>
      </c>
      <c r="E26" s="60" t="s">
        <v>244</v>
      </c>
      <c r="F26" s="60" t="s">
        <v>313</v>
      </c>
      <c r="G26" s="60" t="s">
        <v>314</v>
      </c>
    </row>
    <row r="27" spans="1:7" x14ac:dyDescent="0.25">
      <c r="B27" s="61" t="s">
        <v>319</v>
      </c>
      <c r="C27" s="61" t="s">
        <v>320</v>
      </c>
      <c r="D27" s="63">
        <v>750</v>
      </c>
      <c r="E27" s="61" t="s">
        <v>321</v>
      </c>
      <c r="F27" s="61" t="s">
        <v>322</v>
      </c>
      <c r="G27" s="61">
        <v>0</v>
      </c>
    </row>
    <row r="28" spans="1:7" x14ac:dyDescent="0.25">
      <c r="B28" s="61" t="s">
        <v>323</v>
      </c>
      <c r="C28" s="61" t="s">
        <v>324</v>
      </c>
      <c r="D28" s="63">
        <v>825</v>
      </c>
      <c r="E28" s="61" t="s">
        <v>325</v>
      </c>
      <c r="F28" s="61" t="s">
        <v>326</v>
      </c>
      <c r="G28" s="61">
        <v>65</v>
      </c>
    </row>
    <row r="29" spans="1:7" x14ac:dyDescent="0.25">
      <c r="B29" s="61" t="s">
        <v>316</v>
      </c>
      <c r="C29" s="61" t="s">
        <v>289</v>
      </c>
      <c r="D29" s="63">
        <v>150</v>
      </c>
      <c r="E29" s="61" t="s">
        <v>327</v>
      </c>
      <c r="F29" s="61" t="s">
        <v>322</v>
      </c>
      <c r="G29" s="61">
        <v>0</v>
      </c>
    </row>
    <row r="30" spans="1:7" x14ac:dyDescent="0.25">
      <c r="B30" s="61" t="s">
        <v>316</v>
      </c>
      <c r="C30" s="61" t="s">
        <v>289</v>
      </c>
      <c r="D30" s="63">
        <v>150</v>
      </c>
      <c r="E30" s="61" t="s">
        <v>328</v>
      </c>
      <c r="F30" s="61" t="s">
        <v>326</v>
      </c>
      <c r="G30" s="63">
        <v>150</v>
      </c>
    </row>
    <row r="31" spans="1:7" ht="15.75" thickBot="1" x14ac:dyDescent="0.3">
      <c r="B31" s="59" t="s">
        <v>318</v>
      </c>
      <c r="C31" s="59" t="s">
        <v>289</v>
      </c>
      <c r="D31" s="62">
        <v>75.000000000000014</v>
      </c>
      <c r="E31" s="59" t="s">
        <v>329</v>
      </c>
      <c r="F31" s="59" t="s">
        <v>326</v>
      </c>
      <c r="G31" s="62">
        <v>75.000000000000014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/>
  </sheetViews>
  <sheetFormatPr defaultRowHeight="15" x14ac:dyDescent="0.25"/>
  <cols>
    <col min="2" max="4" width="12.28515625" bestFit="1" customWidth="1"/>
  </cols>
  <sheetData>
    <row r="1" spans="1:6" x14ac:dyDescent="0.25">
      <c r="B1" t="s">
        <v>280</v>
      </c>
      <c r="C1" t="s">
        <v>281</v>
      </c>
      <c r="D1" t="s">
        <v>282</v>
      </c>
      <c r="E1" t="s">
        <v>286</v>
      </c>
      <c r="F1" t="s">
        <v>287</v>
      </c>
    </row>
    <row r="2" spans="1:6" x14ac:dyDescent="0.25">
      <c r="A2" t="s">
        <v>283</v>
      </c>
      <c r="B2">
        <v>35</v>
      </c>
      <c r="C2">
        <v>50</v>
      </c>
      <c r="D2">
        <v>75</v>
      </c>
      <c r="E2">
        <v>62.1</v>
      </c>
      <c r="F2" s="57">
        <f t="array" ref="F2:F4">MMULT(B2:D4, E2:E4)</f>
        <v>9336</v>
      </c>
    </row>
    <row r="3" spans="1:6" x14ac:dyDescent="0.25">
      <c r="A3" t="s">
        <v>284</v>
      </c>
      <c r="B3">
        <v>75</v>
      </c>
      <c r="C3">
        <v>55</v>
      </c>
      <c r="D3">
        <v>65</v>
      </c>
      <c r="E3">
        <v>59.1</v>
      </c>
      <c r="F3" s="57">
        <v>11554.5</v>
      </c>
    </row>
    <row r="4" spans="1:6" x14ac:dyDescent="0.25">
      <c r="A4" t="s">
        <v>285</v>
      </c>
      <c r="B4">
        <v>80</v>
      </c>
      <c r="C4">
        <v>100</v>
      </c>
      <c r="D4">
        <v>90</v>
      </c>
      <c r="E4">
        <v>56.1</v>
      </c>
      <c r="F4" s="57">
        <v>15927</v>
      </c>
    </row>
    <row r="6" spans="1:6" x14ac:dyDescent="0.25">
      <c r="B6" t="s">
        <v>288</v>
      </c>
      <c r="C6">
        <f>MDETERM(B2:D4)</f>
        <v>100750</v>
      </c>
    </row>
    <row r="8" spans="1:6" x14ac:dyDescent="0.25">
      <c r="A8" t="s">
        <v>289</v>
      </c>
    </row>
    <row r="9" spans="1:6" x14ac:dyDescent="0.25">
      <c r="B9">
        <f t="array" ref="B9:D11">MINVERSE(B2:D4)</f>
        <v>-1.5384615384615385E-2</v>
      </c>
      <c r="C9">
        <v>2.9776674937965264E-2</v>
      </c>
      <c r="D9">
        <v>-8.6848635235731997E-3</v>
      </c>
    </row>
    <row r="10" spans="1:6" x14ac:dyDescent="0.25">
      <c r="B10">
        <v>-1.5384615384615384E-2</v>
      </c>
      <c r="C10">
        <v>-2.8287841191067E-2</v>
      </c>
      <c r="D10">
        <v>3.3250620347394538E-2</v>
      </c>
    </row>
    <row r="11" spans="1:6" x14ac:dyDescent="0.25">
      <c r="B11">
        <v>3.0769230769230771E-2</v>
      </c>
      <c r="C11">
        <v>4.9627791563275434E-3</v>
      </c>
      <c r="D11">
        <v>-1.8114143920595533E-2</v>
      </c>
    </row>
    <row r="13" spans="1:6" x14ac:dyDescent="0.25">
      <c r="A13">
        <v>-4</v>
      </c>
    </row>
    <row r="14" spans="1:6" x14ac:dyDescent="0.25">
      <c r="A14">
        <f>A13+4</f>
        <v>0</v>
      </c>
    </row>
    <row r="15" spans="1:6" x14ac:dyDescent="0.25">
      <c r="A15">
        <v>1181048.1927710844</v>
      </c>
    </row>
    <row r="16" spans="1:6" x14ac:dyDescent="0.25">
      <c r="A16" s="14">
        <f xml:space="preserve"> -178752.6+0.3154*A15</f>
        <v>193750.00000000003</v>
      </c>
    </row>
    <row r="17" spans="1:8" x14ac:dyDescent="0.25">
      <c r="B17">
        <v>-4.0999999999999996</v>
      </c>
    </row>
    <row r="18" spans="1:8" x14ac:dyDescent="0.25">
      <c r="A18">
        <v>-5</v>
      </c>
    </row>
    <row r="19" spans="1:8" x14ac:dyDescent="0.25">
      <c r="A19" s="14">
        <f>A18^2+9*A18+20</f>
        <v>0</v>
      </c>
    </row>
    <row r="20" spans="1:8" x14ac:dyDescent="0.25">
      <c r="D20" t="s">
        <v>330</v>
      </c>
      <c r="G20" t="s">
        <v>334</v>
      </c>
    </row>
    <row r="21" spans="1:8" x14ac:dyDescent="0.25">
      <c r="A21">
        <v>150</v>
      </c>
      <c r="D21" t="s">
        <v>332</v>
      </c>
      <c r="E21">
        <v>3</v>
      </c>
      <c r="G21" t="s">
        <v>74</v>
      </c>
      <c r="H21">
        <v>1250000</v>
      </c>
    </row>
    <row r="22" spans="1:8" x14ac:dyDescent="0.25">
      <c r="A22">
        <v>75.000000000000014</v>
      </c>
      <c r="D22" t="s">
        <v>333</v>
      </c>
      <c r="E22">
        <v>5</v>
      </c>
      <c r="G22" t="s">
        <v>335</v>
      </c>
      <c r="H22">
        <v>375000</v>
      </c>
    </row>
    <row r="23" spans="1:8" x14ac:dyDescent="0.25">
      <c r="A23" s="14">
        <f>5*A21+3*A22</f>
        <v>975</v>
      </c>
      <c r="D23" t="s">
        <v>331</v>
      </c>
      <c r="E23">
        <f>8*E21+4*E22</f>
        <v>44</v>
      </c>
      <c r="G23" t="s">
        <v>331</v>
      </c>
      <c r="H23" s="14">
        <f>-11706.6 + 0.257182*H21 - 0.17087*H22</f>
        <v>245694.65000000002</v>
      </c>
    </row>
    <row r="24" spans="1:8" x14ac:dyDescent="0.25">
      <c r="A24" t="s">
        <v>290</v>
      </c>
      <c r="B24" s="14">
        <f>3*A21+4*A22</f>
        <v>750</v>
      </c>
      <c r="D24" t="s">
        <v>311</v>
      </c>
    </row>
    <row r="25" spans="1:8" x14ac:dyDescent="0.25">
      <c r="A25" t="s">
        <v>291</v>
      </c>
      <c r="B25" s="14">
        <f>4*A21+3*A22</f>
        <v>825</v>
      </c>
      <c r="D25">
        <f>15*E21+40*E22</f>
        <v>245</v>
      </c>
    </row>
    <row r="26" spans="1:8" x14ac:dyDescent="0.25">
      <c r="D26">
        <f>45*E21+8*E22</f>
        <v>175</v>
      </c>
    </row>
    <row r="27" spans="1:8" x14ac:dyDescent="0.25">
      <c r="D27">
        <f>25*E21+35*E22</f>
        <v>250</v>
      </c>
    </row>
  </sheetData>
  <scenarios current="0">
    <scenario name="Resposta 1" count="2" user="José Dias Curto" comment="Criado por José Dias Curto em 9/8/2016">
      <inputCells r="A21" val="150"/>
      <inputCells r="A22" val="75"/>
    </scenario>
  </scenario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opLeftCell="A96" workbookViewId="0">
      <selection activeCell="D109" sqref="D109:D115"/>
    </sheetView>
  </sheetViews>
  <sheetFormatPr defaultRowHeight="15" x14ac:dyDescent="0.25"/>
  <cols>
    <col min="1" max="1" width="38" bestFit="1" customWidth="1"/>
    <col min="2" max="2" width="10.28515625" bestFit="1" customWidth="1"/>
    <col min="3" max="3" width="17.85546875" bestFit="1" customWidth="1"/>
    <col min="4" max="4" width="11.7109375" bestFit="1" customWidth="1"/>
  </cols>
  <sheetData>
    <row r="1" spans="1:5" x14ac:dyDescent="0.25">
      <c r="A1" t="s">
        <v>336</v>
      </c>
      <c r="E1" t="s">
        <v>345</v>
      </c>
    </row>
    <row r="2" spans="1:5" x14ac:dyDescent="0.25">
      <c r="A2" t="s">
        <v>337</v>
      </c>
      <c r="B2">
        <v>-1000</v>
      </c>
      <c r="D2" t="s">
        <v>346</v>
      </c>
      <c r="E2" s="65">
        <v>0.02</v>
      </c>
    </row>
    <row r="3" spans="1:5" x14ac:dyDescent="0.25">
      <c r="A3" t="s">
        <v>338</v>
      </c>
      <c r="B3">
        <v>0.04</v>
      </c>
      <c r="D3" t="s">
        <v>347</v>
      </c>
      <c r="E3" s="65">
        <v>2.0500000000000001E-2</v>
      </c>
    </row>
    <row r="4" spans="1:5" x14ac:dyDescent="0.25">
      <c r="A4" t="s">
        <v>339</v>
      </c>
      <c r="B4">
        <v>4</v>
      </c>
      <c r="D4" t="s">
        <v>348</v>
      </c>
      <c r="E4" s="65">
        <v>2.1000000000000001E-2</v>
      </c>
    </row>
    <row r="5" spans="1:5" x14ac:dyDescent="0.25">
      <c r="A5" t="s">
        <v>340</v>
      </c>
      <c r="B5">
        <v>2</v>
      </c>
      <c r="D5" t="s">
        <v>349</v>
      </c>
      <c r="E5" s="65">
        <v>2.1499999999999998E-2</v>
      </c>
    </row>
    <row r="6" spans="1:5" x14ac:dyDescent="0.25">
      <c r="A6" t="s">
        <v>341</v>
      </c>
      <c r="B6">
        <f>B3/B5</f>
        <v>0.02</v>
      </c>
      <c r="D6" t="s">
        <v>350</v>
      </c>
      <c r="E6" s="65">
        <v>2.1999999999999999E-2</v>
      </c>
    </row>
    <row r="7" spans="1:5" x14ac:dyDescent="0.25">
      <c r="A7" t="s">
        <v>342</v>
      </c>
      <c r="B7">
        <f>B5*B4</f>
        <v>8</v>
      </c>
      <c r="D7" t="s">
        <v>351</v>
      </c>
      <c r="E7" s="65">
        <v>2.2499999999999999E-2</v>
      </c>
    </row>
    <row r="8" spans="1:5" x14ac:dyDescent="0.25">
      <c r="A8" t="s">
        <v>343</v>
      </c>
      <c r="B8">
        <f>FV(B3, B4, , B2,)</f>
        <v>1169.8585600000001</v>
      </c>
      <c r="D8" t="s">
        <v>352</v>
      </c>
      <c r="E8" s="65">
        <v>2.3E-2</v>
      </c>
    </row>
    <row r="9" spans="1:5" x14ac:dyDescent="0.25">
      <c r="A9" t="s">
        <v>344</v>
      </c>
      <c r="B9">
        <f>FV(B6, B7, , B2,)</f>
        <v>1171.6593810022655</v>
      </c>
      <c r="D9" t="s">
        <v>353</v>
      </c>
      <c r="E9" s="65">
        <v>2.35E-2</v>
      </c>
    </row>
    <row r="10" spans="1:5" x14ac:dyDescent="0.25">
      <c r="A10" t="s">
        <v>355</v>
      </c>
      <c r="B10">
        <v>-5000</v>
      </c>
      <c r="D10" t="s">
        <v>354</v>
      </c>
      <c r="E10">
        <f>FVSCHEDULE(-B2,E2:E9)</f>
        <v>1187.8319073822749</v>
      </c>
    </row>
    <row r="11" spans="1:5" x14ac:dyDescent="0.25">
      <c r="A11" t="s">
        <v>356</v>
      </c>
      <c r="B11">
        <v>0.04</v>
      </c>
    </row>
    <row r="12" spans="1:5" x14ac:dyDescent="0.25">
      <c r="A12" t="s">
        <v>357</v>
      </c>
      <c r="B12">
        <v>1</v>
      </c>
    </row>
    <row r="13" spans="1:5" x14ac:dyDescent="0.25">
      <c r="A13" t="s">
        <v>358</v>
      </c>
      <c r="B13">
        <v>4</v>
      </c>
    </row>
    <row r="14" spans="1:5" x14ac:dyDescent="0.25">
      <c r="A14" t="s">
        <v>359</v>
      </c>
      <c r="B14">
        <f>B11/B13</f>
        <v>0.01</v>
      </c>
    </row>
    <row r="15" spans="1:5" x14ac:dyDescent="0.25">
      <c r="A15" t="s">
        <v>342</v>
      </c>
      <c r="B15">
        <f>B13*B12</f>
        <v>4</v>
      </c>
    </row>
    <row r="16" spans="1:5" x14ac:dyDescent="0.25">
      <c r="A16" t="s">
        <v>360</v>
      </c>
      <c r="B16">
        <f>FV(B14, B15, 0, B10, 0)</f>
        <v>5203.0200500000001</v>
      </c>
    </row>
    <row r="17" spans="1:3" x14ac:dyDescent="0.25">
      <c r="A17" t="s">
        <v>361</v>
      </c>
      <c r="B17">
        <f>EFFECT(B11, B13)</f>
        <v>4.0604010000000024E-2</v>
      </c>
    </row>
    <row r="18" spans="1:3" x14ac:dyDescent="0.25">
      <c r="A18" t="s">
        <v>362</v>
      </c>
      <c r="B18">
        <f>NOMINAL(B17,4)</f>
        <v>4.0000000000000036E-2</v>
      </c>
    </row>
    <row r="20" spans="1:3" x14ac:dyDescent="0.25">
      <c r="A20" t="s">
        <v>363</v>
      </c>
    </row>
    <row r="21" spans="1:3" x14ac:dyDescent="0.25">
      <c r="A21" t="s">
        <v>364</v>
      </c>
      <c r="B21">
        <v>0.04</v>
      </c>
      <c r="C21">
        <v>0.04</v>
      </c>
    </row>
    <row r="22" spans="1:3" x14ac:dyDescent="0.25">
      <c r="A22" t="s">
        <v>365</v>
      </c>
      <c r="B22">
        <v>2</v>
      </c>
      <c r="C22">
        <v>4</v>
      </c>
    </row>
    <row r="23" spans="1:3" x14ac:dyDescent="0.25">
      <c r="A23" t="s">
        <v>366</v>
      </c>
      <c r="B23">
        <f>B21/B22</f>
        <v>0.02</v>
      </c>
      <c r="C23">
        <f>C21/C22</f>
        <v>0.01</v>
      </c>
    </row>
    <row r="24" spans="1:3" x14ac:dyDescent="0.25">
      <c r="A24" t="s">
        <v>367</v>
      </c>
      <c r="B24">
        <v>5</v>
      </c>
      <c r="C24">
        <v>5</v>
      </c>
    </row>
    <row r="25" spans="1:3" x14ac:dyDescent="0.25">
      <c r="A25" t="s">
        <v>342</v>
      </c>
      <c r="B25">
        <f>B22*B24</f>
        <v>10</v>
      </c>
      <c r="C25">
        <f>C22*C24</f>
        <v>20</v>
      </c>
    </row>
    <row r="26" spans="1:3" x14ac:dyDescent="0.25">
      <c r="A26" t="s">
        <v>368</v>
      </c>
      <c r="B26">
        <v>10000</v>
      </c>
      <c r="C26">
        <v>10000</v>
      </c>
    </row>
    <row r="27" spans="1:3" x14ac:dyDescent="0.25">
      <c r="A27" t="s">
        <v>369</v>
      </c>
      <c r="B27">
        <f>PV(B23, B25, ,B26,)</f>
        <v>-8203.4829987515532</v>
      </c>
      <c r="C27">
        <f>PV(C23, C25, ,C26,)</f>
        <v>-8195.4447033729539</v>
      </c>
    </row>
    <row r="29" spans="1:3" x14ac:dyDescent="0.25">
      <c r="A29" t="s">
        <v>370</v>
      </c>
    </row>
    <row r="30" spans="1:3" x14ac:dyDescent="0.25">
      <c r="A30" t="s">
        <v>371</v>
      </c>
      <c r="B30">
        <v>-1000</v>
      </c>
    </row>
    <row r="31" spans="1:3" x14ac:dyDescent="0.25">
      <c r="A31" t="s">
        <v>356</v>
      </c>
      <c r="B31">
        <v>0.04</v>
      </c>
    </row>
    <row r="32" spans="1:3" x14ac:dyDescent="0.25">
      <c r="A32" t="s">
        <v>372</v>
      </c>
      <c r="B32">
        <v>0</v>
      </c>
    </row>
    <row r="33" spans="1:2" x14ac:dyDescent="0.25">
      <c r="A33" t="s">
        <v>373</v>
      </c>
      <c r="B33">
        <v>3</v>
      </c>
    </row>
    <row r="34" spans="1:2" x14ac:dyDescent="0.25">
      <c r="A34" t="s">
        <v>374</v>
      </c>
      <c r="B34">
        <v>0</v>
      </c>
    </row>
    <row r="35" spans="1:2" x14ac:dyDescent="0.25">
      <c r="A35" t="s">
        <v>375</v>
      </c>
      <c r="B35">
        <f>FV(B31, B33, B30, B32, B34)</f>
        <v>3121.6000000000022</v>
      </c>
    </row>
    <row r="37" spans="1:2" x14ac:dyDescent="0.25">
      <c r="A37" t="s">
        <v>376</v>
      </c>
      <c r="B37">
        <v>0.04</v>
      </c>
    </row>
    <row r="38" spans="1:2" x14ac:dyDescent="0.25">
      <c r="A38" t="s">
        <v>377</v>
      </c>
      <c r="B38">
        <v>3</v>
      </c>
    </row>
    <row r="39" spans="1:2" x14ac:dyDescent="0.25">
      <c r="A39" t="s">
        <v>378</v>
      </c>
      <c r="B39">
        <v>-4504.3567401332621</v>
      </c>
    </row>
    <row r="40" spans="1:2" x14ac:dyDescent="0.25">
      <c r="A40" t="s">
        <v>379</v>
      </c>
      <c r="B40">
        <v>0</v>
      </c>
    </row>
    <row r="41" spans="1:2" x14ac:dyDescent="0.25">
      <c r="A41" t="s">
        <v>380</v>
      </c>
      <c r="B41">
        <v>0</v>
      </c>
    </row>
    <row r="42" spans="1:2" x14ac:dyDescent="0.25">
      <c r="A42" t="s">
        <v>381</v>
      </c>
      <c r="B42">
        <f>PV(B37,B38,B39,B40,B41)</f>
        <v>12500</v>
      </c>
    </row>
    <row r="44" spans="1:2" x14ac:dyDescent="0.25">
      <c r="A44" t="s">
        <v>356</v>
      </c>
      <c r="B44">
        <v>0.08</v>
      </c>
    </row>
    <row r="45" spans="1:2" x14ac:dyDescent="0.25">
      <c r="A45" t="s">
        <v>382</v>
      </c>
      <c r="B45">
        <v>5</v>
      </c>
    </row>
    <row r="46" spans="1:2" x14ac:dyDescent="0.25">
      <c r="A46" t="s">
        <v>383</v>
      </c>
      <c r="B46">
        <v>500000</v>
      </c>
    </row>
    <row r="47" spans="1:2" x14ac:dyDescent="0.25">
      <c r="A47" t="s">
        <v>384</v>
      </c>
      <c r="B47">
        <v>0</v>
      </c>
    </row>
    <row r="48" spans="1:2" x14ac:dyDescent="0.25">
      <c r="A48" t="s">
        <v>385</v>
      </c>
      <c r="B48">
        <v>0</v>
      </c>
    </row>
    <row r="49" spans="1:2" x14ac:dyDescent="0.25">
      <c r="A49" t="s">
        <v>386</v>
      </c>
      <c r="B49" s="53">
        <f>PMT(B44, B45, B46, B47, B48)</f>
        <v>-125228.22728341829</v>
      </c>
    </row>
    <row r="51" spans="1:2" x14ac:dyDescent="0.25">
      <c r="A51" t="s">
        <v>387</v>
      </c>
      <c r="B51">
        <f>CUMIPMT(B44, B45, B46, 1, 5, B48)</f>
        <v>-126141.13641709142</v>
      </c>
    </row>
    <row r="53" spans="1:2" x14ac:dyDescent="0.25">
      <c r="A53" t="s">
        <v>388</v>
      </c>
      <c r="B53">
        <f>IPMT(B44, 2, B45, B46, B47, B48)</f>
        <v>-33181.741817326532</v>
      </c>
    </row>
    <row r="55" spans="1:2" x14ac:dyDescent="0.25">
      <c r="A55" t="s">
        <v>389</v>
      </c>
      <c r="B55">
        <f>CUMPRINC(B44, B45, B46, 2, 2, B48)</f>
        <v>-92046.485466091748</v>
      </c>
    </row>
    <row r="57" spans="1:2" x14ac:dyDescent="0.25">
      <c r="A57" t="s">
        <v>389</v>
      </c>
      <c r="B57">
        <f>PPMT(B44, 2, B45, B46, B47, B48)</f>
        <v>-92046.485466091748</v>
      </c>
    </row>
    <row r="59" spans="1:2" x14ac:dyDescent="0.25">
      <c r="A59" t="s">
        <v>390</v>
      </c>
      <c r="B59" s="36">
        <f>RATE(B45,B49,B46,B47,B48, )</f>
        <v>7.9999999999989635E-2</v>
      </c>
    </row>
    <row r="61" spans="1:2" x14ac:dyDescent="0.25">
      <c r="A61" t="s">
        <v>391</v>
      </c>
      <c r="B61">
        <f>NPER(B44,B49,B46,B47,B48)</f>
        <v>4.9999999999999964</v>
      </c>
    </row>
    <row r="64" spans="1:2" x14ac:dyDescent="0.25">
      <c r="A64" t="s">
        <v>390</v>
      </c>
      <c r="B64">
        <v>4.7500000000000001E-2</v>
      </c>
    </row>
    <row r="65" spans="1:2" x14ac:dyDescent="0.25">
      <c r="A65" t="s">
        <v>392</v>
      </c>
      <c r="B65">
        <v>6</v>
      </c>
    </row>
    <row r="66" spans="1:2" x14ac:dyDescent="0.25">
      <c r="A66" t="s">
        <v>393</v>
      </c>
      <c r="B66">
        <v>0</v>
      </c>
    </row>
    <row r="67" spans="1:2" x14ac:dyDescent="0.25">
      <c r="A67" t="s">
        <v>394</v>
      </c>
      <c r="B67">
        <v>1000</v>
      </c>
    </row>
    <row r="68" spans="1:2" x14ac:dyDescent="0.25">
      <c r="A68" t="s">
        <v>395</v>
      </c>
      <c r="B68">
        <v>0</v>
      </c>
    </row>
    <row r="69" spans="1:2" x14ac:dyDescent="0.25">
      <c r="A69" t="s">
        <v>396</v>
      </c>
      <c r="B69">
        <f>PV(B64,B65,B66,B67,B68)</f>
        <v>-756.96501882370285</v>
      </c>
    </row>
    <row r="71" spans="1:2" x14ac:dyDescent="0.25">
      <c r="A71" t="s">
        <v>397</v>
      </c>
      <c r="B71">
        <v>4.2500000000000003E-2</v>
      </c>
    </row>
    <row r="72" spans="1:2" x14ac:dyDescent="0.25">
      <c r="A72" t="s">
        <v>398</v>
      </c>
      <c r="B72">
        <v>8</v>
      </c>
    </row>
    <row r="73" spans="1:2" x14ac:dyDescent="0.25">
      <c r="A73" t="s">
        <v>393</v>
      </c>
      <c r="B73">
        <v>-1200</v>
      </c>
    </row>
    <row r="74" spans="1:2" x14ac:dyDescent="0.25">
      <c r="A74" t="s">
        <v>399</v>
      </c>
      <c r="B74">
        <v>-7500</v>
      </c>
    </row>
    <row r="75" spans="1:2" x14ac:dyDescent="0.25">
      <c r="A75" t="s">
        <v>395</v>
      </c>
      <c r="B75">
        <v>0</v>
      </c>
    </row>
    <row r="76" spans="1:2" x14ac:dyDescent="0.25">
      <c r="A76" t="s">
        <v>400</v>
      </c>
      <c r="B76">
        <f>FV(B71,B72,B73,B74,B75)</f>
        <v>21619.378655362547</v>
      </c>
    </row>
    <row r="78" spans="1:2" x14ac:dyDescent="0.25">
      <c r="A78" t="s">
        <v>390</v>
      </c>
      <c r="B78">
        <f>0.0425/12</f>
        <v>3.5416666666666669E-3</v>
      </c>
    </row>
    <row r="79" spans="1:2" x14ac:dyDescent="0.25">
      <c r="A79" t="s">
        <v>398</v>
      </c>
      <c r="B79">
        <f>8*12</f>
        <v>96</v>
      </c>
    </row>
    <row r="80" spans="1:2" x14ac:dyDescent="0.25">
      <c r="A80" t="s">
        <v>393</v>
      </c>
      <c r="B80">
        <v>-100</v>
      </c>
    </row>
    <row r="81" spans="1:8" x14ac:dyDescent="0.25">
      <c r="A81" t="s">
        <v>401</v>
      </c>
      <c r="B81">
        <v>-7500</v>
      </c>
    </row>
    <row r="82" spans="1:8" x14ac:dyDescent="0.25">
      <c r="A82" t="s">
        <v>395</v>
      </c>
      <c r="B82">
        <v>0</v>
      </c>
    </row>
    <row r="83" spans="1:8" x14ac:dyDescent="0.25">
      <c r="A83" t="s">
        <v>400</v>
      </c>
      <c r="B83">
        <f>FV(B78,B79,B80,B81,B82)</f>
        <v>21940.773164272112</v>
      </c>
    </row>
    <row r="85" spans="1:8" x14ac:dyDescent="0.25">
      <c r="A85" t="s">
        <v>402</v>
      </c>
      <c r="B85">
        <f>0.06/12</f>
        <v>5.0000000000000001E-3</v>
      </c>
      <c r="D85" t="s">
        <v>46</v>
      </c>
      <c r="E85" t="s">
        <v>407</v>
      </c>
      <c r="F85" t="s">
        <v>408</v>
      </c>
      <c r="G85" t="s">
        <v>409</v>
      </c>
      <c r="H85" t="s">
        <v>410</v>
      </c>
    </row>
    <row r="86" spans="1:8" x14ac:dyDescent="0.25">
      <c r="A86" t="s">
        <v>403</v>
      </c>
      <c r="B86">
        <f>12*10</f>
        <v>120</v>
      </c>
      <c r="D86">
        <v>1</v>
      </c>
      <c r="E86">
        <v>1</v>
      </c>
      <c r="F86">
        <v>12</v>
      </c>
      <c r="G86">
        <f t="shared" ref="G86:G95" si="0">CUMIPMT($B$85,$B$86,$B$87,E86,F86,$B$89)</f>
        <v>-11590.476311458324</v>
      </c>
      <c r="H86">
        <f>CUMPRINC($B$85,$B$86,$B$87,E86,F86,$B$89)</f>
        <v>-15054.444154537543</v>
      </c>
    </row>
    <row r="87" spans="1:8" x14ac:dyDescent="0.25">
      <c r="A87" t="s">
        <v>404</v>
      </c>
      <c r="B87">
        <v>200000</v>
      </c>
      <c r="D87">
        <v>2</v>
      </c>
      <c r="E87">
        <f t="shared" ref="E87:E95" si="1">E86+12</f>
        <v>13</v>
      </c>
      <c r="F87">
        <f t="shared" ref="F87:F95" si="2">F86+12</f>
        <v>24</v>
      </c>
      <c r="G87">
        <f t="shared" si="0"/>
        <v>-10661.951137170139</v>
      </c>
      <c r="H87">
        <f t="shared" ref="H87:H95" si="3">CUMPRINC($B$85,$B$86,$B$87,E87,F87,$B$89)</f>
        <v>-15982.969328825728</v>
      </c>
    </row>
    <row r="88" spans="1:8" x14ac:dyDescent="0.25">
      <c r="A88" t="s">
        <v>405</v>
      </c>
      <c r="B88">
        <v>0</v>
      </c>
      <c r="D88">
        <v>3</v>
      </c>
      <c r="E88">
        <f t="shared" si="1"/>
        <v>25</v>
      </c>
      <c r="F88">
        <f t="shared" si="2"/>
        <v>36</v>
      </c>
      <c r="G88">
        <f t="shared" si="0"/>
        <v>-9676.1565618707609</v>
      </c>
      <c r="H88">
        <f t="shared" si="3"/>
        <v>-16968.763904125106</v>
      </c>
    </row>
    <row r="89" spans="1:8" x14ac:dyDescent="0.25">
      <c r="A89" t="s">
        <v>395</v>
      </c>
      <c r="B89">
        <v>0</v>
      </c>
      <c r="D89">
        <v>4</v>
      </c>
      <c r="E89">
        <f t="shared" si="1"/>
        <v>37</v>
      </c>
      <c r="F89">
        <f t="shared" si="2"/>
        <v>48</v>
      </c>
      <c r="G89">
        <f t="shared" si="0"/>
        <v>-8629.5603342190225</v>
      </c>
      <c r="H89">
        <f t="shared" si="3"/>
        <v>-18015.360131776844</v>
      </c>
    </row>
    <row r="90" spans="1:8" x14ac:dyDescent="0.25">
      <c r="A90" t="s">
        <v>406</v>
      </c>
      <c r="B90">
        <f>PMT(B85, B86, B87, B88, B89)</f>
        <v>-2220.4100388329889</v>
      </c>
      <c r="D90">
        <v>5</v>
      </c>
      <c r="E90">
        <f t="shared" si="1"/>
        <v>49</v>
      </c>
      <c r="F90">
        <f t="shared" si="2"/>
        <v>60</v>
      </c>
      <c r="G90">
        <f t="shared" si="0"/>
        <v>-7518.4123413400812</v>
      </c>
      <c r="H90">
        <f t="shared" si="3"/>
        <v>-19126.508124655786</v>
      </c>
    </row>
    <row r="91" spans="1:8" x14ac:dyDescent="0.25">
      <c r="D91">
        <v>6</v>
      </c>
      <c r="E91">
        <f t="shared" si="1"/>
        <v>61</v>
      </c>
      <c r="F91">
        <f t="shared" si="2"/>
        <v>72</v>
      </c>
      <c r="G91">
        <f t="shared" si="0"/>
        <v>-6338.7311716027398</v>
      </c>
      <c r="H91">
        <f t="shared" si="3"/>
        <v>-20306.189294393127</v>
      </c>
    </row>
    <row r="92" spans="1:8" x14ac:dyDescent="0.25">
      <c r="A92" t="s">
        <v>411</v>
      </c>
      <c r="B92" s="65">
        <f>12*RATE(B86,B90,B87,B88,B89)</f>
        <v>6.0000000000002454E-2</v>
      </c>
      <c r="D92">
        <v>7</v>
      </c>
      <c r="E92">
        <f t="shared" si="1"/>
        <v>73</v>
      </c>
      <c r="F92">
        <f t="shared" si="2"/>
        <v>84</v>
      </c>
      <c r="G92">
        <f t="shared" si="0"/>
        <v>-5086.2898486182457</v>
      </c>
      <c r="H92">
        <f t="shared" si="3"/>
        <v>-21558.630617377621</v>
      </c>
    </row>
    <row r="93" spans="1:8" x14ac:dyDescent="0.25">
      <c r="D93">
        <v>8</v>
      </c>
      <c r="E93">
        <f t="shared" si="1"/>
        <v>85</v>
      </c>
      <c r="F93">
        <f t="shared" si="2"/>
        <v>96</v>
      </c>
      <c r="G93">
        <f t="shared" si="0"/>
        <v>-3756.6006853433864</v>
      </c>
      <c r="H93">
        <f t="shared" si="3"/>
        <v>-22888.31978065248</v>
      </c>
    </row>
    <row r="94" spans="1:8" x14ac:dyDescent="0.25">
      <c r="D94">
        <v>9</v>
      </c>
      <c r="E94">
        <f t="shared" si="1"/>
        <v>97</v>
      </c>
      <c r="F94">
        <f t="shared" si="2"/>
        <v>108</v>
      </c>
      <c r="G94">
        <f t="shared" si="0"/>
        <v>-2344.8992040177982</v>
      </c>
      <c r="H94">
        <f t="shared" si="3"/>
        <v>-24300.021261978069</v>
      </c>
    </row>
    <row r="95" spans="1:8" x14ac:dyDescent="0.25">
      <c r="D95">
        <v>10</v>
      </c>
      <c r="E95">
        <f t="shared" si="1"/>
        <v>109</v>
      </c>
      <c r="F95">
        <f t="shared" si="2"/>
        <v>120</v>
      </c>
      <c r="G95">
        <f t="shared" si="0"/>
        <v>-846.12706431817787</v>
      </c>
      <c r="H95">
        <f t="shared" si="3"/>
        <v>-25798.793401677689</v>
      </c>
    </row>
    <row r="100" spans="1:4" x14ac:dyDescent="0.25">
      <c r="A100" t="s">
        <v>412</v>
      </c>
      <c r="B100" s="50">
        <v>0.03</v>
      </c>
    </row>
    <row r="101" spans="1:4" x14ac:dyDescent="0.25">
      <c r="A101" t="s">
        <v>403</v>
      </c>
      <c r="B101">
        <v>8</v>
      </c>
    </row>
    <row r="102" spans="1:4" x14ac:dyDescent="0.25">
      <c r="A102" t="s">
        <v>404</v>
      </c>
      <c r="B102">
        <v>220000</v>
      </c>
    </row>
    <row r="103" spans="1:4" x14ac:dyDescent="0.25">
      <c r="A103" t="s">
        <v>384</v>
      </c>
      <c r="B103">
        <v>0</v>
      </c>
    </row>
    <row r="104" spans="1:4" x14ac:dyDescent="0.25">
      <c r="A104" t="s">
        <v>395</v>
      </c>
      <c r="B104">
        <v>0</v>
      </c>
    </row>
    <row r="105" spans="1:4" x14ac:dyDescent="0.25">
      <c r="A105" t="s">
        <v>413</v>
      </c>
      <c r="B105" s="66">
        <f>PMT(B100,B101,B102,B103,B104)</f>
        <v>-31340.405541992619</v>
      </c>
    </row>
    <row r="107" spans="1:4" x14ac:dyDescent="0.25">
      <c r="A107" t="s">
        <v>414</v>
      </c>
      <c r="B107" t="s">
        <v>415</v>
      </c>
      <c r="C107" t="s">
        <v>416</v>
      </c>
      <c r="D107" t="s">
        <v>417</v>
      </c>
    </row>
    <row r="108" spans="1:4" x14ac:dyDescent="0.25">
      <c r="A108">
        <v>1</v>
      </c>
      <c r="B108" s="67">
        <f>IPMT($B$100,A108,$B$101,$B$102,$B$103,$B$104)</f>
        <v>-6600</v>
      </c>
      <c r="C108" s="67">
        <f>PPMT($B$100,A108,$B$101,$B$102,$B$103,$B$104)</f>
        <v>-24740.405541992619</v>
      </c>
      <c r="D108" s="64">
        <f>B102+C108</f>
        <v>195259.59445800737</v>
      </c>
    </row>
    <row r="109" spans="1:4" x14ac:dyDescent="0.25">
      <c r="A109">
        <v>2</v>
      </c>
      <c r="B109" s="67">
        <f t="shared" ref="B109:B115" si="4">IPMT($B$100,A109,$B$101,$B$102,$B$103,$B$104)</f>
        <v>-5857.7878337402226</v>
      </c>
      <c r="C109" s="67">
        <f t="shared" ref="C109:C115" si="5">PPMT($B$100,A109,$B$101,$B$102,$B$103,$B$104)</f>
        <v>-25482.617708252394</v>
      </c>
      <c r="D109" s="64">
        <f>D108+C109</f>
        <v>169776.97674975498</v>
      </c>
    </row>
    <row r="110" spans="1:4" x14ac:dyDescent="0.25">
      <c r="A110">
        <v>3</v>
      </c>
      <c r="B110" s="67">
        <f t="shared" si="4"/>
        <v>-5093.3093024926493</v>
      </c>
      <c r="C110" s="67">
        <f t="shared" si="5"/>
        <v>-26247.09623949997</v>
      </c>
      <c r="D110" s="64">
        <f t="shared" ref="D110:D115" si="6">D109+C110</f>
        <v>143529.880510255</v>
      </c>
    </row>
    <row r="111" spans="1:4" x14ac:dyDescent="0.25">
      <c r="A111">
        <v>4</v>
      </c>
      <c r="B111" s="67">
        <f t="shared" si="4"/>
        <v>-4305.8964153076495</v>
      </c>
      <c r="C111" s="67">
        <f t="shared" si="5"/>
        <v>-27034.509126684967</v>
      </c>
      <c r="D111" s="64">
        <f t="shared" si="6"/>
        <v>116495.37138357003</v>
      </c>
    </row>
    <row r="112" spans="1:4" x14ac:dyDescent="0.25">
      <c r="A112">
        <v>5</v>
      </c>
      <c r="B112" s="67">
        <f t="shared" si="4"/>
        <v>-3494.8611415071009</v>
      </c>
      <c r="C112" s="67">
        <f t="shared" si="5"/>
        <v>-27845.544400485516</v>
      </c>
      <c r="D112" s="64">
        <f t="shared" si="6"/>
        <v>88649.826983084524</v>
      </c>
    </row>
    <row r="113" spans="1:4" x14ac:dyDescent="0.25">
      <c r="A113">
        <v>6</v>
      </c>
      <c r="B113" s="67">
        <f t="shared" si="4"/>
        <v>-2659.4948094925353</v>
      </c>
      <c r="C113" s="67">
        <f t="shared" si="5"/>
        <v>-28680.910732500084</v>
      </c>
      <c r="D113" s="64">
        <f t="shared" si="6"/>
        <v>59968.916250584443</v>
      </c>
    </row>
    <row r="114" spans="1:4" x14ac:dyDescent="0.25">
      <c r="A114">
        <v>7</v>
      </c>
      <c r="B114" s="67">
        <f t="shared" si="4"/>
        <v>-1799.0674875175328</v>
      </c>
      <c r="C114" s="67">
        <f t="shared" si="5"/>
        <v>-29541.338054475087</v>
      </c>
      <c r="D114" s="64">
        <f t="shared" si="6"/>
        <v>30427.578196109356</v>
      </c>
    </row>
    <row r="115" spans="1:4" x14ac:dyDescent="0.25">
      <c r="A115">
        <v>8</v>
      </c>
      <c r="B115" s="67">
        <f t="shared" si="4"/>
        <v>-912.82734588328026</v>
      </c>
      <c r="C115" s="67">
        <f t="shared" si="5"/>
        <v>-30427.578196109342</v>
      </c>
      <c r="D115" s="64">
        <f t="shared" si="6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/>
  </sheetViews>
  <sheetFormatPr defaultRowHeight="15" x14ac:dyDescent="0.25"/>
  <cols>
    <col min="1" max="1" width="37.140625" bestFit="1" customWidth="1"/>
  </cols>
  <sheetData>
    <row r="1" spans="1:7" x14ac:dyDescent="0.25">
      <c r="A1" t="s">
        <v>418</v>
      </c>
    </row>
    <row r="2" spans="1:7" x14ac:dyDescent="0.25">
      <c r="A2" t="s">
        <v>419</v>
      </c>
      <c r="B2">
        <v>7500</v>
      </c>
    </row>
    <row r="3" spans="1:7" x14ac:dyDescent="0.25">
      <c r="A3" t="s">
        <v>397</v>
      </c>
      <c r="B3" s="65">
        <v>0.05</v>
      </c>
    </row>
    <row r="4" spans="1:7" x14ac:dyDescent="0.25">
      <c r="A4" t="s">
        <v>420</v>
      </c>
      <c r="B4">
        <v>6</v>
      </c>
    </row>
    <row r="5" spans="1:7" x14ac:dyDescent="0.25">
      <c r="A5" t="s">
        <v>421</v>
      </c>
      <c r="B5">
        <f>B2*B3*B4/12</f>
        <v>187.5</v>
      </c>
      <c r="C5">
        <f>B2+B5</f>
        <v>7687.5</v>
      </c>
      <c r="F5">
        <f>B2*B3*B4/12</f>
        <v>187.5</v>
      </c>
    </row>
    <row r="6" spans="1:7" x14ac:dyDescent="0.25">
      <c r="A6" s="65">
        <v>3.7499999999999999E-2</v>
      </c>
      <c r="B6">
        <f t="dataTable" ref="B6:C11" dt2D="0" dtr="0" r1="B3"/>
        <v>140.625</v>
      </c>
      <c r="C6">
        <v>7640.625</v>
      </c>
      <c r="E6">
        <v>1</v>
      </c>
      <c r="F6">
        <f t="dataTable" ref="F6:F10" dt2D="0" dtr="0" r1="B4" ca="1"/>
        <v>31.25</v>
      </c>
    </row>
    <row r="7" spans="1:7" x14ac:dyDescent="0.25">
      <c r="A7" s="65">
        <v>0.04</v>
      </c>
      <c r="B7">
        <v>150</v>
      </c>
      <c r="C7">
        <v>7650</v>
      </c>
      <c r="E7">
        <v>3</v>
      </c>
      <c r="F7">
        <v>93.75</v>
      </c>
    </row>
    <row r="8" spans="1:7" x14ac:dyDescent="0.25">
      <c r="A8" s="65">
        <v>4.2500000000000003E-2</v>
      </c>
      <c r="B8">
        <v>159.375</v>
      </c>
      <c r="C8">
        <v>7659.375</v>
      </c>
      <c r="E8">
        <v>6</v>
      </c>
      <c r="F8">
        <v>187.5</v>
      </c>
    </row>
    <row r="9" spans="1:7" x14ac:dyDescent="0.25">
      <c r="A9" s="65">
        <v>4.4999999999999998E-2</v>
      </c>
      <c r="B9">
        <v>168.75</v>
      </c>
      <c r="C9">
        <v>7668.75</v>
      </c>
      <c r="E9">
        <v>9</v>
      </c>
      <c r="F9">
        <v>281.25</v>
      </c>
    </row>
    <row r="10" spans="1:7" x14ac:dyDescent="0.25">
      <c r="A10" s="65">
        <v>4.7500000000000001E-2</v>
      </c>
      <c r="B10">
        <v>178.125</v>
      </c>
      <c r="C10">
        <v>7678.125</v>
      </c>
      <c r="E10">
        <v>12</v>
      </c>
      <c r="F10">
        <v>375</v>
      </c>
    </row>
    <row r="11" spans="1:7" x14ac:dyDescent="0.25">
      <c r="A11" s="65">
        <v>0.05</v>
      </c>
      <c r="B11">
        <v>187.5</v>
      </c>
      <c r="C11">
        <v>7687.5</v>
      </c>
    </row>
    <row r="13" spans="1:7" x14ac:dyDescent="0.25">
      <c r="B13" s="65">
        <v>3.7499999999999999E-2</v>
      </c>
      <c r="C13" s="65">
        <v>0.04</v>
      </c>
      <c r="D13" s="65">
        <v>4.2500000000000003E-2</v>
      </c>
      <c r="E13" s="65">
        <v>4.4999999999999998E-2</v>
      </c>
      <c r="F13" s="65">
        <v>4.7500000000000001E-2</v>
      </c>
      <c r="G13" s="65">
        <v>0.05</v>
      </c>
    </row>
    <row r="14" spans="1:7" x14ac:dyDescent="0.25">
      <c r="A14">
        <f>B2*B3*B4/12</f>
        <v>187.5</v>
      </c>
      <c r="B14">
        <f t="dataTable" ref="B14:G15" dt2D="0" dtr="1" r1="B3" ca="1"/>
        <v>140.625</v>
      </c>
      <c r="C14">
        <v>150</v>
      </c>
      <c r="D14">
        <v>159.375</v>
      </c>
      <c r="E14">
        <v>168.75</v>
      </c>
      <c r="F14">
        <v>178.125</v>
      </c>
      <c r="G14">
        <v>187.5</v>
      </c>
    </row>
    <row r="15" spans="1:7" x14ac:dyDescent="0.25">
      <c r="A15">
        <f>B2+A14</f>
        <v>7687.5</v>
      </c>
      <c r="B15">
        <v>7640.625</v>
      </c>
      <c r="C15">
        <v>7650</v>
      </c>
      <c r="D15">
        <v>7659.375</v>
      </c>
      <c r="E15">
        <v>7668.75</v>
      </c>
      <c r="F15">
        <v>7678.125</v>
      </c>
      <c r="G15">
        <v>7687.5</v>
      </c>
    </row>
    <row r="18" spans="1:6" x14ac:dyDescent="0.25">
      <c r="A18" s="14">
        <f xml:space="preserve"> B2*B3*B4/12+B2</f>
        <v>7687.5</v>
      </c>
      <c r="B18">
        <v>1</v>
      </c>
      <c r="C18">
        <v>3</v>
      </c>
      <c r="D18">
        <v>6</v>
      </c>
      <c r="E18">
        <v>9</v>
      </c>
      <c r="F18">
        <v>12</v>
      </c>
    </row>
    <row r="19" spans="1:6" x14ac:dyDescent="0.25">
      <c r="A19" s="65">
        <v>3.7499999999999999E-2</v>
      </c>
      <c r="B19">
        <f t="dataTable" ref="B19:F24" dt2D="1" dtr="1" r1="B4" r2="B3" ca="1"/>
        <v>7523.4375</v>
      </c>
      <c r="C19">
        <v>7570.3125</v>
      </c>
      <c r="D19">
        <v>7640.625</v>
      </c>
      <c r="E19">
        <v>7710.9375</v>
      </c>
      <c r="F19">
        <v>7781.25</v>
      </c>
    </row>
    <row r="20" spans="1:6" x14ac:dyDescent="0.25">
      <c r="A20" s="65">
        <v>0.04</v>
      </c>
      <c r="B20">
        <v>7525</v>
      </c>
      <c r="C20">
        <v>7575</v>
      </c>
      <c r="D20">
        <v>7650</v>
      </c>
      <c r="E20">
        <v>7725</v>
      </c>
      <c r="F20">
        <v>7800</v>
      </c>
    </row>
    <row r="21" spans="1:6" x14ac:dyDescent="0.25">
      <c r="A21" s="65">
        <v>4.2500000000000003E-2</v>
      </c>
      <c r="B21">
        <v>7526.5625</v>
      </c>
      <c r="C21">
        <v>7579.6875</v>
      </c>
      <c r="D21">
        <v>7659.375</v>
      </c>
      <c r="E21">
        <v>7739.0625</v>
      </c>
      <c r="F21">
        <v>7818.75</v>
      </c>
    </row>
    <row r="22" spans="1:6" x14ac:dyDescent="0.25">
      <c r="A22" s="65">
        <v>4.4999999999999998E-2</v>
      </c>
      <c r="B22">
        <v>7528.125</v>
      </c>
      <c r="C22">
        <v>7584.375</v>
      </c>
      <c r="D22">
        <v>7668.75</v>
      </c>
      <c r="E22">
        <v>7753.125</v>
      </c>
      <c r="F22">
        <v>7837.5</v>
      </c>
    </row>
    <row r="23" spans="1:6" x14ac:dyDescent="0.25">
      <c r="A23" s="65">
        <v>4.7500000000000001E-2</v>
      </c>
      <c r="B23">
        <v>7529.6875</v>
      </c>
      <c r="C23">
        <v>7589.0625</v>
      </c>
      <c r="D23">
        <v>7678.125</v>
      </c>
      <c r="E23">
        <v>7767.1875</v>
      </c>
      <c r="F23">
        <v>7856.25</v>
      </c>
    </row>
    <row r="24" spans="1:6" x14ac:dyDescent="0.25">
      <c r="A24" s="65">
        <v>0.05</v>
      </c>
      <c r="B24">
        <v>7531.25</v>
      </c>
      <c r="C24">
        <v>7593.75</v>
      </c>
      <c r="D24">
        <v>7687.5</v>
      </c>
      <c r="E24">
        <v>7781.25</v>
      </c>
      <c r="F24">
        <v>7875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5" sqref="B5"/>
    </sheetView>
  </sheetViews>
  <sheetFormatPr defaultRowHeight="15" x14ac:dyDescent="0.25"/>
  <cols>
    <col min="1" max="1" width="36.7109375" bestFit="1" customWidth="1"/>
  </cols>
  <sheetData>
    <row r="1" spans="1:2" x14ac:dyDescent="0.25">
      <c r="B1">
        <v>2017</v>
      </c>
    </row>
    <row r="2" spans="1:2" x14ac:dyDescent="0.25">
      <c r="A2" t="s">
        <v>422</v>
      </c>
      <c r="B2">
        <v>1100000</v>
      </c>
    </row>
    <row r="3" spans="1:2" x14ac:dyDescent="0.25">
      <c r="A3" t="s">
        <v>423</v>
      </c>
      <c r="B3">
        <v>-178752.6</v>
      </c>
    </row>
    <row r="4" spans="1:2" x14ac:dyDescent="0.25">
      <c r="A4" t="s">
        <v>424</v>
      </c>
      <c r="B4">
        <v>0.31539</v>
      </c>
    </row>
    <row r="5" spans="1:2" x14ac:dyDescent="0.25">
      <c r="A5" t="s">
        <v>425</v>
      </c>
      <c r="B5">
        <f>B3+B4*B2</f>
        <v>168176.4</v>
      </c>
    </row>
    <row r="6" spans="1:2" x14ac:dyDescent="0.25">
      <c r="A6" t="s">
        <v>426</v>
      </c>
      <c r="B6">
        <f>B5/B2</f>
        <v>0.15288763636363636</v>
      </c>
    </row>
  </sheetData>
  <scenarios current="1" show="1" sqref="B5:B6">
    <scenario name="Optimista" locked="1" count="1" user="José Dias Curto" comment="Criado por José Dias Curto em 08/09/2016">
      <inputCells r="B2" val="1100000"/>
    </scenario>
    <scenario name="Razoável" locked="1" count="1" user="José Dias Curto" comment="Criado por José Dias Curto em 08/09/2016">
      <inputCells r="B2" val="1025000"/>
    </scenario>
    <scenario name="Pessimista" locked="1" count="1" user="José Dias Curto" comment="Criado por José Dias Curto em 08/09/2016">
      <inputCells r="B2" val="990000"/>
    </scenario>
  </scenario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B1:G12"/>
  <sheetViews>
    <sheetView showGridLines="0" workbookViewId="0">
      <selection activeCell="C10" sqref="C10"/>
    </sheetView>
  </sheetViews>
  <sheetFormatPr defaultRowHeight="15" outlineLevelRow="1" outlineLevelCol="1" x14ac:dyDescent="0.25"/>
  <cols>
    <col min="3" max="3" width="5.140625" customWidth="1"/>
    <col min="4" max="7" width="12.85546875" bestFit="1" customWidth="1" outlineLevel="1"/>
  </cols>
  <sheetData>
    <row r="1" spans="2:7" ht="15.75" thickBot="1" x14ac:dyDescent="0.3"/>
    <row r="2" spans="2:7" ht="15.75" x14ac:dyDescent="0.25">
      <c r="B2" s="69" t="s">
        <v>432</v>
      </c>
      <c r="C2" s="69"/>
      <c r="D2" s="73"/>
      <c r="E2" s="73"/>
      <c r="F2" s="73"/>
      <c r="G2" s="73"/>
    </row>
    <row r="3" spans="2:7" ht="15.75" collapsed="1" x14ac:dyDescent="0.25">
      <c r="B3" s="68"/>
      <c r="C3" s="68"/>
      <c r="D3" s="74" t="s">
        <v>434</v>
      </c>
      <c r="E3" s="74" t="s">
        <v>428</v>
      </c>
      <c r="F3" s="74" t="s">
        <v>430</v>
      </c>
      <c r="G3" s="74" t="s">
        <v>431</v>
      </c>
    </row>
    <row r="4" spans="2:7" ht="33.75" hidden="1" outlineLevel="1" x14ac:dyDescent="0.25">
      <c r="B4" s="70"/>
      <c r="C4" s="70"/>
      <c r="D4" s="41"/>
      <c r="E4" s="76" t="s">
        <v>429</v>
      </c>
      <c r="F4" s="76" t="s">
        <v>429</v>
      </c>
      <c r="G4" s="76" t="s">
        <v>429</v>
      </c>
    </row>
    <row r="5" spans="2:7" x14ac:dyDescent="0.25">
      <c r="B5" s="71" t="s">
        <v>433</v>
      </c>
      <c r="C5" s="71"/>
      <c r="D5" s="48"/>
      <c r="E5" s="48"/>
      <c r="F5" s="48"/>
      <c r="G5" s="48"/>
    </row>
    <row r="6" spans="2:7" outlineLevel="1" x14ac:dyDescent="0.25">
      <c r="B6" s="70"/>
      <c r="C6" s="70" t="s">
        <v>427</v>
      </c>
      <c r="D6" s="41">
        <v>1100000</v>
      </c>
      <c r="E6" s="75">
        <v>1100000</v>
      </c>
      <c r="F6" s="75">
        <v>1025000</v>
      </c>
      <c r="G6" s="75">
        <v>990000</v>
      </c>
    </row>
    <row r="7" spans="2:7" x14ac:dyDescent="0.25">
      <c r="B7" s="71" t="s">
        <v>435</v>
      </c>
      <c r="C7" s="71"/>
      <c r="D7" s="48"/>
      <c r="E7" s="48"/>
      <c r="F7" s="48"/>
      <c r="G7" s="48"/>
    </row>
    <row r="8" spans="2:7" outlineLevel="1" x14ac:dyDescent="0.25">
      <c r="B8" s="70"/>
      <c r="C8" s="70" t="s">
        <v>439</v>
      </c>
      <c r="D8" s="41">
        <v>168176.4</v>
      </c>
      <c r="E8" s="41">
        <v>168176.4</v>
      </c>
      <c r="F8" s="41">
        <v>144522.15</v>
      </c>
      <c r="G8" s="41">
        <v>133483.5</v>
      </c>
    </row>
    <row r="9" spans="2:7" ht="15.75" outlineLevel="1" thickBot="1" x14ac:dyDescent="0.3">
      <c r="B9" s="72"/>
      <c r="C9" s="72" t="s">
        <v>440</v>
      </c>
      <c r="D9" s="42">
        <v>0.152887636363636</v>
      </c>
      <c r="E9" s="42">
        <v>0.152887636363636</v>
      </c>
      <c r="F9" s="42">
        <v>0.14099721951219499</v>
      </c>
      <c r="G9" s="42">
        <v>0.134831818181818</v>
      </c>
    </row>
    <row r="10" spans="2:7" x14ac:dyDescent="0.25">
      <c r="B10" t="s">
        <v>436</v>
      </c>
    </row>
    <row r="11" spans="2:7" x14ac:dyDescent="0.25">
      <c r="B11" t="s">
        <v>437</v>
      </c>
    </row>
    <row r="12" spans="2:7" x14ac:dyDescent="0.25">
      <c r="B12" t="s">
        <v>438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:B12"/>
    </sheetView>
  </sheetViews>
  <sheetFormatPr defaultRowHeight="15" x14ac:dyDescent="0.25"/>
  <cols>
    <col min="1" max="1" width="28.140625" bestFit="1" customWidth="1"/>
  </cols>
  <sheetData>
    <row r="1" spans="1:2" x14ac:dyDescent="0.25">
      <c r="A1" t="s">
        <v>441</v>
      </c>
    </row>
    <row r="3" spans="1:2" x14ac:dyDescent="0.25">
      <c r="A3" t="s">
        <v>442</v>
      </c>
      <c r="B3">
        <v>625000</v>
      </c>
    </row>
    <row r="4" spans="1:2" x14ac:dyDescent="0.25">
      <c r="A4" t="s">
        <v>443</v>
      </c>
      <c r="B4">
        <v>122815</v>
      </c>
    </row>
    <row r="5" spans="1:2" x14ac:dyDescent="0.25">
      <c r="A5" t="s">
        <v>444</v>
      </c>
      <c r="B5">
        <v>67850</v>
      </c>
    </row>
    <row r="6" spans="1:2" x14ac:dyDescent="0.25">
      <c r="A6" t="s">
        <v>445</v>
      </c>
      <c r="B6">
        <v>112500</v>
      </c>
    </row>
    <row r="7" spans="1:2" x14ac:dyDescent="0.25">
      <c r="A7" t="s">
        <v>446</v>
      </c>
      <c r="B7">
        <v>928165</v>
      </c>
    </row>
    <row r="8" spans="1:2" x14ac:dyDescent="0.25">
      <c r="A8" t="s">
        <v>447</v>
      </c>
      <c r="B8">
        <v>625000</v>
      </c>
    </row>
    <row r="9" spans="1:2" x14ac:dyDescent="0.25">
      <c r="A9" t="s">
        <v>448</v>
      </c>
      <c r="B9">
        <v>126730</v>
      </c>
    </row>
    <row r="10" spans="1:2" x14ac:dyDescent="0.25">
      <c r="A10" t="s">
        <v>449</v>
      </c>
      <c r="B10">
        <v>75000</v>
      </c>
    </row>
    <row r="11" spans="1:2" x14ac:dyDescent="0.25">
      <c r="A11" t="s">
        <v>450</v>
      </c>
      <c r="B11">
        <v>101435</v>
      </c>
    </row>
    <row r="12" spans="1:2" x14ac:dyDescent="0.25">
      <c r="A12" t="s">
        <v>451</v>
      </c>
      <c r="B12">
        <v>928165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3" sqref="B3:B12"/>
    </sheetView>
  </sheetViews>
  <sheetFormatPr defaultRowHeight="15" x14ac:dyDescent="0.25"/>
  <cols>
    <col min="1" max="1" width="28.140625" bestFit="1" customWidth="1"/>
  </cols>
  <sheetData>
    <row r="1" spans="1:2" x14ac:dyDescent="0.25">
      <c r="A1" t="s">
        <v>452</v>
      </c>
    </row>
    <row r="3" spans="1:2" x14ac:dyDescent="0.25">
      <c r="A3" t="s">
        <v>442</v>
      </c>
      <c r="B3">
        <v>775000</v>
      </c>
    </row>
    <row r="4" spans="1:2" x14ac:dyDescent="0.25">
      <c r="A4" t="s">
        <v>443</v>
      </c>
      <c r="B4">
        <v>136625</v>
      </c>
    </row>
    <row r="5" spans="1:2" x14ac:dyDescent="0.25">
      <c r="A5" t="s">
        <v>444</v>
      </c>
      <c r="B5">
        <v>73760</v>
      </c>
    </row>
    <row r="6" spans="1:2" x14ac:dyDescent="0.25">
      <c r="A6" t="s">
        <v>445</v>
      </c>
      <c r="B6">
        <v>68700</v>
      </c>
    </row>
    <row r="7" spans="1:2" x14ac:dyDescent="0.25">
      <c r="A7" t="s">
        <v>446</v>
      </c>
      <c r="B7">
        <v>1054085</v>
      </c>
    </row>
    <row r="8" spans="1:2" x14ac:dyDescent="0.25">
      <c r="A8" t="s">
        <v>447</v>
      </c>
      <c r="B8">
        <v>750000</v>
      </c>
    </row>
    <row r="9" spans="1:2" x14ac:dyDescent="0.25">
      <c r="A9" t="s">
        <v>448</v>
      </c>
      <c r="B9">
        <v>124905</v>
      </c>
    </row>
    <row r="10" spans="1:2" x14ac:dyDescent="0.25">
      <c r="A10" t="s">
        <v>449</v>
      </c>
      <c r="B10">
        <v>50000</v>
      </c>
    </row>
    <row r="11" spans="1:2" x14ac:dyDescent="0.25">
      <c r="A11" t="s">
        <v>450</v>
      </c>
      <c r="B11">
        <v>129180</v>
      </c>
    </row>
    <row r="12" spans="1:2" x14ac:dyDescent="0.25">
      <c r="A12" t="s">
        <v>451</v>
      </c>
      <c r="B12">
        <v>1054085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5" x14ac:dyDescent="0.25"/>
  <cols>
    <col min="1" max="1" width="28.140625" bestFit="1" customWidth="1"/>
  </cols>
  <sheetData>
    <row r="1" spans="1:2" x14ac:dyDescent="0.25">
      <c r="A1" t="s">
        <v>453</v>
      </c>
    </row>
    <row r="3" spans="1:2" x14ac:dyDescent="0.25">
      <c r="A3" t="s">
        <v>442</v>
      </c>
      <c r="B3">
        <v>875000</v>
      </c>
    </row>
    <row r="4" spans="1:2" x14ac:dyDescent="0.25">
      <c r="A4" t="s">
        <v>443</v>
      </c>
      <c r="B4">
        <v>128150</v>
      </c>
    </row>
    <row r="5" spans="1:2" x14ac:dyDescent="0.25">
      <c r="A5" t="s">
        <v>444</v>
      </c>
      <c r="B5">
        <v>73625</v>
      </c>
    </row>
    <row r="6" spans="1:2" x14ac:dyDescent="0.25">
      <c r="A6" t="s">
        <v>445</v>
      </c>
      <c r="B6">
        <v>58750</v>
      </c>
    </row>
    <row r="7" spans="1:2" x14ac:dyDescent="0.25">
      <c r="A7" t="s">
        <v>446</v>
      </c>
      <c r="B7">
        <v>1135525</v>
      </c>
    </row>
    <row r="8" spans="1:2" x14ac:dyDescent="0.25">
      <c r="A8" t="s">
        <v>447</v>
      </c>
      <c r="B8">
        <v>860000</v>
      </c>
    </row>
    <row r="9" spans="1:2" x14ac:dyDescent="0.25">
      <c r="A9" t="s">
        <v>448</v>
      </c>
      <c r="B9">
        <v>133725</v>
      </c>
    </row>
    <row r="10" spans="1:2" x14ac:dyDescent="0.25">
      <c r="A10" t="s">
        <v>449</v>
      </c>
      <c r="B10">
        <v>50000</v>
      </c>
    </row>
    <row r="11" spans="1:2" x14ac:dyDescent="0.25">
      <c r="A11" t="s">
        <v>450</v>
      </c>
      <c r="B11">
        <v>91800</v>
      </c>
    </row>
    <row r="12" spans="1:2" x14ac:dyDescent="0.25">
      <c r="A12" t="s">
        <v>451</v>
      </c>
      <c r="B12">
        <v>1135525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workbookViewId="0"/>
  </sheetViews>
  <sheetFormatPr defaultRowHeight="15" x14ac:dyDescent="0.25"/>
  <cols>
    <col min="1" max="1" width="28.140625" bestFit="1" customWidth="1"/>
    <col min="2" max="2" width="11.5703125" bestFit="1" customWidth="1"/>
  </cols>
  <sheetData>
    <row r="3" spans="1:2" x14ac:dyDescent="0.25">
      <c r="A3" t="s">
        <v>442</v>
      </c>
      <c r="B3">
        <v>2275000</v>
      </c>
    </row>
    <row r="4" spans="1:2" x14ac:dyDescent="0.25">
      <c r="A4" t="s">
        <v>443</v>
      </c>
      <c r="B4">
        <v>387590</v>
      </c>
    </row>
    <row r="5" spans="1:2" x14ac:dyDescent="0.25">
      <c r="A5" t="s">
        <v>444</v>
      </c>
      <c r="B5">
        <v>215235</v>
      </c>
    </row>
    <row r="6" spans="1:2" x14ac:dyDescent="0.25">
      <c r="A6" t="s">
        <v>445</v>
      </c>
      <c r="B6">
        <v>239950</v>
      </c>
    </row>
    <row r="7" spans="1:2" x14ac:dyDescent="0.25">
      <c r="A7" t="s">
        <v>446</v>
      </c>
      <c r="B7">
        <v>3117775</v>
      </c>
    </row>
    <row r="8" spans="1:2" x14ac:dyDescent="0.25">
      <c r="A8" t="s">
        <v>447</v>
      </c>
      <c r="B8">
        <v>2235000</v>
      </c>
    </row>
    <row r="9" spans="1:2" x14ac:dyDescent="0.25">
      <c r="A9" t="s">
        <v>448</v>
      </c>
      <c r="B9">
        <v>385360</v>
      </c>
    </row>
    <row r="10" spans="1:2" x14ac:dyDescent="0.25">
      <c r="A10" t="s">
        <v>449</v>
      </c>
      <c r="B10">
        <v>175000</v>
      </c>
    </row>
    <row r="11" spans="1:2" x14ac:dyDescent="0.25">
      <c r="A11" t="s">
        <v>450</v>
      </c>
      <c r="B11">
        <v>322415</v>
      </c>
    </row>
    <row r="12" spans="1:2" x14ac:dyDescent="0.25">
      <c r="A12" t="s">
        <v>451</v>
      </c>
      <c r="B12">
        <v>3117775</v>
      </c>
    </row>
    <row r="15" spans="1:2" x14ac:dyDescent="0.25">
      <c r="A15" t="s">
        <v>442</v>
      </c>
      <c r="B15">
        <v>758333.33333333337</v>
      </c>
    </row>
    <row r="16" spans="1:2" x14ac:dyDescent="0.25">
      <c r="A16" t="s">
        <v>443</v>
      </c>
      <c r="B16">
        <v>129196.66666666667</v>
      </c>
    </row>
    <row r="17" spans="1:2" x14ac:dyDescent="0.25">
      <c r="A17" t="s">
        <v>444</v>
      </c>
      <c r="B17">
        <v>71745</v>
      </c>
    </row>
    <row r="18" spans="1:2" x14ac:dyDescent="0.25">
      <c r="A18" t="s">
        <v>445</v>
      </c>
      <c r="B18">
        <v>79983.333333333328</v>
      </c>
    </row>
    <row r="19" spans="1:2" x14ac:dyDescent="0.25">
      <c r="A19" t="s">
        <v>446</v>
      </c>
      <c r="B19" s="53">
        <v>1039258.3333333334</v>
      </c>
    </row>
    <row r="20" spans="1:2" x14ac:dyDescent="0.25">
      <c r="A20" t="s">
        <v>447</v>
      </c>
      <c r="B20">
        <v>745000</v>
      </c>
    </row>
    <row r="21" spans="1:2" x14ac:dyDescent="0.25">
      <c r="A21" t="s">
        <v>448</v>
      </c>
      <c r="B21">
        <v>128453.33333333333</v>
      </c>
    </row>
    <row r="22" spans="1:2" x14ac:dyDescent="0.25">
      <c r="A22" t="s">
        <v>449</v>
      </c>
      <c r="B22">
        <v>58333.333333333336</v>
      </c>
    </row>
    <row r="23" spans="1:2" x14ac:dyDescent="0.25">
      <c r="A23" t="s">
        <v>450</v>
      </c>
      <c r="B23">
        <v>107471.66666666667</v>
      </c>
    </row>
    <row r="24" spans="1:2" x14ac:dyDescent="0.25">
      <c r="A24" t="s">
        <v>451</v>
      </c>
      <c r="B24">
        <v>1039258.3333333334</v>
      </c>
    </row>
  </sheetData>
  <dataConsolidate function="average">
    <dataRefs count="3">
      <dataRef ref="A3:B12" sheet="Bal13"/>
      <dataRef ref="A3:B12" sheet="Bal14"/>
      <dataRef ref="A3:B12" sheet="Bal15"/>
    </dataRefs>
  </dataConsolid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9" workbookViewId="0">
      <selection activeCell="A24" sqref="A24:A28"/>
    </sheetView>
  </sheetViews>
  <sheetFormatPr defaultRowHeight="15" x14ac:dyDescent="0.25"/>
  <cols>
    <col min="1" max="1" width="31.42578125" bestFit="1" customWidth="1"/>
  </cols>
  <sheetData>
    <row r="1" spans="1:2" x14ac:dyDescent="0.25">
      <c r="A1" t="s">
        <v>454</v>
      </c>
      <c r="B1">
        <v>15000</v>
      </c>
    </row>
    <row r="2" spans="1:2" x14ac:dyDescent="0.25">
      <c r="A2" t="s">
        <v>455</v>
      </c>
      <c r="B2">
        <v>1000</v>
      </c>
    </row>
    <row r="3" spans="1:2" x14ac:dyDescent="0.25">
      <c r="A3" t="s">
        <v>456</v>
      </c>
      <c r="B3">
        <v>5</v>
      </c>
    </row>
    <row r="4" spans="1:2" x14ac:dyDescent="0.25">
      <c r="A4" t="s">
        <v>457</v>
      </c>
      <c r="B4">
        <f>SLN(B1, B2, B3)</f>
        <v>2800</v>
      </c>
    </row>
    <row r="6" spans="1:2" x14ac:dyDescent="0.25">
      <c r="A6" t="s">
        <v>458</v>
      </c>
      <c r="B6">
        <v>25000</v>
      </c>
    </row>
    <row r="7" spans="1:2" x14ac:dyDescent="0.25">
      <c r="A7" t="s">
        <v>459</v>
      </c>
      <c r="B7">
        <v>36688</v>
      </c>
    </row>
    <row r="8" spans="1:2" x14ac:dyDescent="0.25">
      <c r="A8" t="s">
        <v>460</v>
      </c>
      <c r="B8">
        <v>36891</v>
      </c>
    </row>
    <row r="9" spans="1:2" x14ac:dyDescent="0.25">
      <c r="A9" t="s">
        <v>455</v>
      </c>
      <c r="B9">
        <v>1500</v>
      </c>
    </row>
    <row r="10" spans="1:2" x14ac:dyDescent="0.25">
      <c r="A10" t="s">
        <v>461</v>
      </c>
      <c r="B10" s="65">
        <v>0.1429</v>
      </c>
    </row>
    <row r="11" spans="1:2" x14ac:dyDescent="0.25">
      <c r="A11" t="s">
        <v>462</v>
      </c>
      <c r="B11">
        <v>4</v>
      </c>
    </row>
    <row r="12" spans="1:2" x14ac:dyDescent="0.25">
      <c r="A12" t="s">
        <v>463</v>
      </c>
    </row>
    <row r="13" spans="1:2" x14ac:dyDescent="0.25">
      <c r="A13" s="22">
        <v>2012</v>
      </c>
      <c r="B13">
        <f>AMORLINC($B$6,$B$7,$B$8,$B$9,0,$B$10,$B$11)</f>
        <v>1974.7986111111111</v>
      </c>
    </row>
    <row r="14" spans="1:2" x14ac:dyDescent="0.25">
      <c r="A14" s="22">
        <v>2013</v>
      </c>
      <c r="B14">
        <f>AMORLINC($B$6,$B$7,$B$8,$B$9,1,$B$10,$B$11)</f>
        <v>3572.5</v>
      </c>
    </row>
    <row r="15" spans="1:2" x14ac:dyDescent="0.25">
      <c r="A15" s="22">
        <v>2014</v>
      </c>
      <c r="B15">
        <f>AMORLINC($B$6,$B$7,$B$8,$B$9,2,$B$10,$B$11)</f>
        <v>3572.5</v>
      </c>
    </row>
    <row r="16" spans="1:2" x14ac:dyDescent="0.25">
      <c r="A16" s="22">
        <v>2015</v>
      </c>
      <c r="B16">
        <f>AMORLINC($B$6,$B$7,$B$8,$B$9,3,$B$10,$B$11)</f>
        <v>3572.5</v>
      </c>
    </row>
    <row r="17" spans="1:2" x14ac:dyDescent="0.25">
      <c r="A17" s="22">
        <v>2016</v>
      </c>
      <c r="B17">
        <f>AMORLINC($B$6,$B$7,$B$8,$B$9,4,$B$10,$B$11)</f>
        <v>3572.5</v>
      </c>
    </row>
    <row r="18" spans="1:2" x14ac:dyDescent="0.25">
      <c r="A18" s="22">
        <v>2017</v>
      </c>
      <c r="B18">
        <f>AMORLINC($B$6,$B$7,$B$8,$B$9,5,$B$10,$B$11)</f>
        <v>3572.5</v>
      </c>
    </row>
    <row r="19" spans="1:2" x14ac:dyDescent="0.25">
      <c r="A19" s="22">
        <v>2018</v>
      </c>
      <c r="B19">
        <f>AMORLINC($B$6,$B$7,$B$8,$B$9,6,$B$10,$B$11)</f>
        <v>3572.5</v>
      </c>
    </row>
    <row r="20" spans="1:2" x14ac:dyDescent="0.25">
      <c r="A20" s="22">
        <v>2019</v>
      </c>
      <c r="B20">
        <f>AMORLINC($B$6,$B$7,$B$8,$B$9,7,$B$10,$B$11)</f>
        <v>90.201388888890506</v>
      </c>
    </row>
    <row r="21" spans="1:2" x14ac:dyDescent="0.25">
      <c r="A21" t="s">
        <v>22</v>
      </c>
      <c r="B21">
        <f>SUM(B13:B20)</f>
        <v>23500</v>
      </c>
    </row>
    <row r="23" spans="1:2" x14ac:dyDescent="0.25">
      <c r="A23" t="s">
        <v>464</v>
      </c>
    </row>
    <row r="24" spans="1:2" x14ac:dyDescent="0.25">
      <c r="A24" s="22">
        <v>2012</v>
      </c>
      <c r="B24">
        <f>DB($B$6,$B$9, 4, 1, 7)</f>
        <v>7364.5833333333339</v>
      </c>
    </row>
    <row r="25" spans="1:2" x14ac:dyDescent="0.25">
      <c r="A25" s="22">
        <v>2013</v>
      </c>
      <c r="B25">
        <f>DB($B$6,$B$9, 4, 2, 7)</f>
        <v>8905.8854166666661</v>
      </c>
    </row>
    <row r="26" spans="1:2" x14ac:dyDescent="0.25">
      <c r="A26" s="22">
        <v>2014</v>
      </c>
      <c r="B26">
        <f>DB($B$6,$B$9, 4, 3, 7)</f>
        <v>4408.4132812499993</v>
      </c>
    </row>
    <row r="27" spans="1:2" x14ac:dyDescent="0.25">
      <c r="A27" s="22">
        <v>2015</v>
      </c>
      <c r="B27">
        <f>DB($B$6,$B$9, 4, 4, 7)</f>
        <v>2182.1645742187493</v>
      </c>
    </row>
    <row r="28" spans="1:2" x14ac:dyDescent="0.25">
      <c r="A28" s="22">
        <v>2016</v>
      </c>
      <c r="B28">
        <f>DB($B$6,$B$9, 4, 5, 7)</f>
        <v>450.07144343261706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/>
  </sheetViews>
  <sheetFormatPr defaultRowHeight="15" x14ac:dyDescent="0.25"/>
  <cols>
    <col min="1" max="1" width="44.5703125" bestFit="1" customWidth="1"/>
    <col min="2" max="7" width="10.42578125" bestFit="1" customWidth="1"/>
  </cols>
  <sheetData>
    <row r="1" spans="1:6" x14ac:dyDescent="0.25">
      <c r="A1" t="s">
        <v>465</v>
      </c>
    </row>
    <row r="2" spans="1:6" x14ac:dyDescent="0.25">
      <c r="D2" t="s">
        <v>48</v>
      </c>
    </row>
    <row r="3" spans="1:6" x14ac:dyDescent="0.25">
      <c r="B3">
        <v>1</v>
      </c>
      <c r="C3">
        <v>2</v>
      </c>
      <c r="D3">
        <v>3</v>
      </c>
      <c r="E3">
        <v>4</v>
      </c>
      <c r="F3">
        <v>5</v>
      </c>
    </row>
    <row r="4" spans="1:6" x14ac:dyDescent="0.25">
      <c r="A4" t="s">
        <v>466</v>
      </c>
      <c r="B4">
        <v>905958</v>
      </c>
      <c r="C4">
        <v>981882</v>
      </c>
      <c r="D4">
        <v>983250</v>
      </c>
      <c r="E4">
        <v>983250</v>
      </c>
      <c r="F4">
        <v>983250</v>
      </c>
    </row>
    <row r="5" spans="1:6" x14ac:dyDescent="0.25">
      <c r="A5" t="s">
        <v>467</v>
      </c>
      <c r="B5">
        <v>603970</v>
      </c>
      <c r="C5">
        <v>654590</v>
      </c>
      <c r="D5">
        <v>655500</v>
      </c>
      <c r="E5">
        <v>655500</v>
      </c>
      <c r="F5">
        <v>655500</v>
      </c>
    </row>
    <row r="6" spans="1:6" x14ac:dyDescent="0.25">
      <c r="A6" t="s">
        <v>468</v>
      </c>
      <c r="B6">
        <v>80530</v>
      </c>
      <c r="C6">
        <v>87280</v>
      </c>
      <c r="D6">
        <v>87400</v>
      </c>
      <c r="E6">
        <v>87400</v>
      </c>
      <c r="F6">
        <v>87400</v>
      </c>
    </row>
    <row r="7" spans="1:6" x14ac:dyDescent="0.25">
      <c r="A7" t="s">
        <v>469</v>
      </c>
      <c r="B7">
        <v>115570</v>
      </c>
      <c r="C7">
        <v>115570</v>
      </c>
      <c r="D7">
        <v>115570</v>
      </c>
      <c r="E7">
        <v>115570</v>
      </c>
      <c r="F7">
        <v>115570</v>
      </c>
    </row>
    <row r="8" spans="1:6" x14ac:dyDescent="0.25">
      <c r="A8" t="s">
        <v>470</v>
      </c>
      <c r="B8">
        <v>12500</v>
      </c>
      <c r="C8">
        <v>12500</v>
      </c>
      <c r="D8">
        <v>12500</v>
      </c>
      <c r="E8">
        <v>12500</v>
      </c>
      <c r="F8">
        <v>12500</v>
      </c>
    </row>
    <row r="9" spans="1:6" x14ac:dyDescent="0.25">
      <c r="A9" t="s">
        <v>471</v>
      </c>
      <c r="B9">
        <v>62000</v>
      </c>
      <c r="C9">
        <v>62000</v>
      </c>
      <c r="D9">
        <v>62000</v>
      </c>
      <c r="E9">
        <v>53500</v>
      </c>
      <c r="F9">
        <v>53500</v>
      </c>
    </row>
    <row r="10" spans="1:6" x14ac:dyDescent="0.25">
      <c r="A10" t="s">
        <v>472</v>
      </c>
      <c r="B10">
        <v>31388</v>
      </c>
      <c r="C10">
        <v>49942</v>
      </c>
      <c r="D10">
        <v>50280</v>
      </c>
      <c r="E10">
        <v>58780</v>
      </c>
      <c r="F10">
        <v>58780</v>
      </c>
    </row>
    <row r="11" spans="1:6" x14ac:dyDescent="0.25">
      <c r="A11" t="s">
        <v>473</v>
      </c>
      <c r="B11">
        <v>12555</v>
      </c>
      <c r="C11">
        <v>19977</v>
      </c>
      <c r="D11">
        <v>20112</v>
      </c>
      <c r="E11">
        <v>23512</v>
      </c>
      <c r="F11">
        <v>23512</v>
      </c>
    </row>
    <row r="12" spans="1:6" x14ac:dyDescent="0.25">
      <c r="A12" t="s">
        <v>474</v>
      </c>
      <c r="B12">
        <v>18833</v>
      </c>
      <c r="C12">
        <v>29965</v>
      </c>
      <c r="D12">
        <v>30168</v>
      </c>
      <c r="E12">
        <v>35268</v>
      </c>
      <c r="F12">
        <v>35268</v>
      </c>
    </row>
    <row r="13" spans="1:6" x14ac:dyDescent="0.25">
      <c r="A13" t="s">
        <v>475</v>
      </c>
      <c r="B13">
        <v>812570</v>
      </c>
      <c r="C13">
        <v>869940</v>
      </c>
      <c r="D13">
        <v>870970</v>
      </c>
      <c r="E13">
        <v>870970</v>
      </c>
      <c r="F13">
        <v>870970</v>
      </c>
    </row>
    <row r="15" spans="1:6" x14ac:dyDescent="0.25">
      <c r="A15" t="s">
        <v>476</v>
      </c>
    </row>
    <row r="16" spans="1:6" x14ac:dyDescent="0.25">
      <c r="D16" t="s">
        <v>48</v>
      </c>
    </row>
    <row r="17" spans="1:7" x14ac:dyDescent="0.25">
      <c r="B17">
        <v>1</v>
      </c>
      <c r="C17">
        <v>2</v>
      </c>
      <c r="D17">
        <v>3</v>
      </c>
      <c r="E17">
        <v>4</v>
      </c>
      <c r="F17">
        <v>5</v>
      </c>
    </row>
    <row r="18" spans="1:7" x14ac:dyDescent="0.25">
      <c r="A18" t="s">
        <v>477</v>
      </c>
      <c r="B18">
        <v>93388</v>
      </c>
      <c r="C18">
        <v>111942</v>
      </c>
      <c r="D18">
        <v>112280</v>
      </c>
      <c r="E18">
        <v>112280</v>
      </c>
      <c r="F18">
        <v>112280</v>
      </c>
    </row>
    <row r="19" spans="1:7" x14ac:dyDescent="0.25">
      <c r="A19" t="s">
        <v>478</v>
      </c>
      <c r="B19">
        <v>80833</v>
      </c>
      <c r="C19">
        <v>91965</v>
      </c>
      <c r="D19">
        <v>92168</v>
      </c>
      <c r="E19">
        <v>88768</v>
      </c>
      <c r="F19">
        <v>88768</v>
      </c>
    </row>
    <row r="21" spans="1:7" x14ac:dyDescent="0.25">
      <c r="A21" t="s">
        <v>479</v>
      </c>
    </row>
    <row r="22" spans="1:7" x14ac:dyDescent="0.25">
      <c r="D22" t="s">
        <v>48</v>
      </c>
    </row>
    <row r="23" spans="1:7" x14ac:dyDescent="0.25">
      <c r="B23">
        <v>0</v>
      </c>
      <c r="C23">
        <v>1</v>
      </c>
      <c r="D23">
        <v>2</v>
      </c>
      <c r="E23">
        <v>3</v>
      </c>
      <c r="F23">
        <v>4</v>
      </c>
      <c r="G23">
        <v>5</v>
      </c>
    </row>
    <row r="24" spans="1:7" x14ac:dyDescent="0.25">
      <c r="A24" t="s">
        <v>480</v>
      </c>
    </row>
    <row r="25" spans="1:7" x14ac:dyDescent="0.25">
      <c r="A25" t="s">
        <v>481</v>
      </c>
      <c r="B25">
        <v>0</v>
      </c>
      <c r="C25">
        <v>80833</v>
      </c>
      <c r="D25">
        <v>91965</v>
      </c>
      <c r="E25">
        <v>92168</v>
      </c>
      <c r="F25">
        <v>88768</v>
      </c>
      <c r="G25">
        <v>88768</v>
      </c>
    </row>
    <row r="26" spans="1:7" x14ac:dyDescent="0.25">
      <c r="A26" t="s">
        <v>482</v>
      </c>
      <c r="B26">
        <v>0</v>
      </c>
      <c r="C26">
        <v>0</v>
      </c>
      <c r="D26">
        <v>0</v>
      </c>
      <c r="E26">
        <v>0</v>
      </c>
      <c r="F26">
        <v>0</v>
      </c>
      <c r="G26">
        <v>80000</v>
      </c>
    </row>
    <row r="27" spans="1:7" x14ac:dyDescent="0.25">
      <c r="A27" t="s">
        <v>483</v>
      </c>
      <c r="B27">
        <v>0</v>
      </c>
      <c r="C27">
        <v>0</v>
      </c>
      <c r="D27">
        <v>0</v>
      </c>
      <c r="E27">
        <v>0</v>
      </c>
      <c r="F27">
        <v>0</v>
      </c>
      <c r="G27">
        <v>37249</v>
      </c>
    </row>
    <row r="28" spans="1:7" x14ac:dyDescent="0.25">
      <c r="A28" t="s">
        <v>484</v>
      </c>
      <c r="B28">
        <v>0</v>
      </c>
      <c r="C28">
        <v>80833</v>
      </c>
      <c r="D28">
        <v>91965</v>
      </c>
      <c r="E28">
        <v>92168</v>
      </c>
      <c r="F28">
        <v>88768</v>
      </c>
      <c r="G28">
        <v>206017</v>
      </c>
    </row>
    <row r="30" spans="1:7" x14ac:dyDescent="0.25">
      <c r="A30" t="s">
        <v>485</v>
      </c>
    </row>
    <row r="31" spans="1:7" x14ac:dyDescent="0.25">
      <c r="A31" t="s">
        <v>486</v>
      </c>
      <c r="B31">
        <v>-7891</v>
      </c>
      <c r="C31">
        <v>16168</v>
      </c>
      <c r="D31">
        <v>550</v>
      </c>
      <c r="E31">
        <v>105</v>
      </c>
      <c r="F31">
        <v>445</v>
      </c>
      <c r="G31">
        <v>350</v>
      </c>
    </row>
    <row r="32" spans="1:7" x14ac:dyDescent="0.25">
      <c r="A32" t="s">
        <v>487</v>
      </c>
      <c r="B32">
        <v>373000</v>
      </c>
    </row>
    <row r="33" spans="1:7" x14ac:dyDescent="0.25">
      <c r="A33" t="s">
        <v>488</v>
      </c>
      <c r="B33">
        <v>365109</v>
      </c>
      <c r="C33">
        <v>16168</v>
      </c>
      <c r="D33">
        <v>550</v>
      </c>
      <c r="E33">
        <v>105</v>
      </c>
      <c r="F33">
        <v>445</v>
      </c>
      <c r="G33">
        <v>350</v>
      </c>
    </row>
    <row r="35" spans="1:7" x14ac:dyDescent="0.25">
      <c r="A35" t="s">
        <v>489</v>
      </c>
      <c r="B35">
        <v>-365109</v>
      </c>
      <c r="C35">
        <v>64665</v>
      </c>
      <c r="D35">
        <v>91415</v>
      </c>
      <c r="E35">
        <v>92063</v>
      </c>
      <c r="F35">
        <v>88323</v>
      </c>
      <c r="G35">
        <v>205667</v>
      </c>
    </row>
    <row r="37" spans="1:7" x14ac:dyDescent="0.25">
      <c r="A37" t="s">
        <v>490</v>
      </c>
    </row>
    <row r="38" spans="1:7" x14ac:dyDescent="0.25">
      <c r="A38" t="s">
        <v>491</v>
      </c>
      <c r="B38">
        <v>7.0000000000000007E-2</v>
      </c>
    </row>
    <row r="39" spans="1:7" x14ac:dyDescent="0.25">
      <c r="A39" t="s">
        <v>492</v>
      </c>
      <c r="B39">
        <f>B35+NPV(B38,C35:G35)</f>
        <v>64340.734614091634</v>
      </c>
    </row>
    <row r="40" spans="1:7" x14ac:dyDescent="0.25">
      <c r="A40" t="s">
        <v>493</v>
      </c>
      <c r="B40" s="50">
        <f>IRR(B35:G35)</f>
        <v>0.12361032848061781</v>
      </c>
    </row>
    <row r="43" spans="1:7" x14ac:dyDescent="0.25">
      <c r="A43" t="s">
        <v>494</v>
      </c>
      <c r="B43">
        <v>-365109</v>
      </c>
      <c r="C43">
        <v>64665</v>
      </c>
      <c r="D43">
        <v>91415</v>
      </c>
      <c r="E43">
        <v>92063</v>
      </c>
      <c r="F43">
        <v>88323</v>
      </c>
      <c r="G43">
        <v>205667</v>
      </c>
    </row>
    <row r="44" spans="1:7" x14ac:dyDescent="0.25">
      <c r="A44" t="s">
        <v>495</v>
      </c>
      <c r="B44" s="77">
        <v>40273</v>
      </c>
      <c r="C44" s="77">
        <v>40814</v>
      </c>
      <c r="D44" s="77">
        <v>41274</v>
      </c>
      <c r="E44" s="77">
        <v>41854</v>
      </c>
      <c r="F44" s="77">
        <v>42320</v>
      </c>
      <c r="G44" s="77">
        <v>42620</v>
      </c>
    </row>
    <row r="45" spans="1:7" x14ac:dyDescent="0.25">
      <c r="A45" t="s">
        <v>496</v>
      </c>
      <c r="B45" s="52">
        <f>XNPV(B38,B43:G43,B44:G44)</f>
        <v>31543.899865604821</v>
      </c>
    </row>
    <row r="46" spans="1:7" x14ac:dyDescent="0.25">
      <c r="A46" t="s">
        <v>497</v>
      </c>
      <c r="B46">
        <f>XIRR(B43:G43,B44:G44,0.1)</f>
        <v>9.000046551227571E-2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RowHeight="15" x14ac:dyDescent="0.25"/>
  <cols>
    <col min="1" max="1" width="30.42578125" bestFit="1" customWidth="1"/>
    <col min="2" max="2" width="10.7109375" bestFit="1" customWidth="1"/>
  </cols>
  <sheetData>
    <row r="1" spans="1:3" x14ac:dyDescent="0.25">
      <c r="A1" t="s">
        <v>498</v>
      </c>
      <c r="B1" s="77">
        <v>42036</v>
      </c>
    </row>
    <row r="2" spans="1:3" x14ac:dyDescent="0.25">
      <c r="A2" t="s">
        <v>499</v>
      </c>
      <c r="B2" s="77">
        <v>42217</v>
      </c>
    </row>
    <row r="3" spans="1:3" x14ac:dyDescent="0.25">
      <c r="A3" t="s">
        <v>500</v>
      </c>
      <c r="B3" s="77">
        <v>43862</v>
      </c>
    </row>
    <row r="4" spans="1:3" x14ac:dyDescent="0.25">
      <c r="A4" t="s">
        <v>501</v>
      </c>
      <c r="B4" s="65">
        <v>4.4999999999999998E-2</v>
      </c>
    </row>
    <row r="5" spans="1:3" x14ac:dyDescent="0.25">
      <c r="A5" t="s">
        <v>491</v>
      </c>
      <c r="B5" s="65">
        <v>4.9000000000000002E-2</v>
      </c>
    </row>
    <row r="6" spans="1:3" x14ac:dyDescent="0.25">
      <c r="A6" t="s">
        <v>502</v>
      </c>
      <c r="B6">
        <v>100</v>
      </c>
    </row>
    <row r="7" spans="1:3" x14ac:dyDescent="0.25">
      <c r="A7" t="s">
        <v>503</v>
      </c>
      <c r="B7">
        <v>2</v>
      </c>
    </row>
    <row r="8" spans="1:3" x14ac:dyDescent="0.25">
      <c r="A8" t="s">
        <v>504</v>
      </c>
      <c r="B8">
        <v>4</v>
      </c>
    </row>
    <row r="9" spans="1:3" x14ac:dyDescent="0.25">
      <c r="A9" t="s">
        <v>505</v>
      </c>
      <c r="B9">
        <f>COUPNUM(B1,B3,B7,B8)</f>
        <v>10</v>
      </c>
    </row>
    <row r="10" spans="1:3" x14ac:dyDescent="0.25">
      <c r="A10" t="s">
        <v>506</v>
      </c>
      <c r="B10" s="77">
        <v>43132</v>
      </c>
      <c r="C10" s="77">
        <v>43377</v>
      </c>
    </row>
    <row r="11" spans="1:3" x14ac:dyDescent="0.25">
      <c r="A11" t="s">
        <v>507</v>
      </c>
      <c r="B11">
        <f>COUPNUM(B10,B3,B7,B8)</f>
        <v>4</v>
      </c>
      <c r="C11">
        <f>COUPNUM(C10,B3,B7,B8)</f>
        <v>3</v>
      </c>
    </row>
    <row r="12" spans="1:3" x14ac:dyDescent="0.25">
      <c r="A12" t="s">
        <v>508</v>
      </c>
      <c r="B12" s="77">
        <f>COUPNCD(B10,B3,B7,B8)</f>
        <v>43313</v>
      </c>
      <c r="C12" s="77">
        <f>COUPNCD(C10,B3,B7,B8)</f>
        <v>43497</v>
      </c>
    </row>
    <row r="13" spans="1:3" x14ac:dyDescent="0.25">
      <c r="A13" t="s">
        <v>509</v>
      </c>
      <c r="B13" s="77">
        <f>COUPPCD(B10,B3,B7,B8)</f>
        <v>43132</v>
      </c>
      <c r="C13" s="77">
        <f>COUPPCD(C10,B3,B7,B8)</f>
        <v>43313</v>
      </c>
    </row>
    <row r="14" spans="1:3" x14ac:dyDescent="0.25">
      <c r="A14" t="s">
        <v>510</v>
      </c>
      <c r="B14">
        <f>COUPDAYBS(B10,B3,B7,B8)</f>
        <v>0</v>
      </c>
      <c r="C14">
        <f>COUPDAYBS(C10,B3,B7,B8)</f>
        <v>63</v>
      </c>
    </row>
    <row r="15" spans="1:3" x14ac:dyDescent="0.25">
      <c r="A15" t="s">
        <v>511</v>
      </c>
      <c r="B15">
        <f>COUPDAYS(B10,B3,B7,B8)</f>
        <v>180</v>
      </c>
      <c r="C15">
        <f>COUPDAYS(C10,B3,B7,B8)</f>
        <v>180</v>
      </c>
    </row>
    <row r="16" spans="1:3" x14ac:dyDescent="0.25">
      <c r="A16" t="s">
        <v>512</v>
      </c>
      <c r="B16">
        <f>COUPDAYSNC(B10,B3,B7,B8)</f>
        <v>180</v>
      </c>
      <c r="C16">
        <f>COUPDAYSNC(C10,B3,B7,B8)</f>
        <v>117</v>
      </c>
    </row>
    <row r="17" spans="1:3" x14ac:dyDescent="0.25">
      <c r="A17" t="s">
        <v>513</v>
      </c>
      <c r="B17">
        <f>PRICE(B10,B3,B4,B5,B6,B7,B8)</f>
        <v>99.246698050792645</v>
      </c>
      <c r="C17">
        <f>PRICE(C10,B3,B4,B5,B6,B7,B8)</f>
        <v>99.486640544870056</v>
      </c>
    </row>
    <row r="18" spans="1:3" x14ac:dyDescent="0.25">
      <c r="A18" t="s">
        <v>514</v>
      </c>
      <c r="B18">
        <f>B6*(B4/B7)*(B14/B15)</f>
        <v>0</v>
      </c>
      <c r="C18">
        <f>B6*(B4/2)*(C14/C15)</f>
        <v>0.78749999999999998</v>
      </c>
    </row>
    <row r="19" spans="1:3" x14ac:dyDescent="0.25">
      <c r="A19" t="s">
        <v>515</v>
      </c>
      <c r="B19">
        <f>B17+B18</f>
        <v>99.246698050792645</v>
      </c>
      <c r="C19">
        <f>C17+C18</f>
        <v>100.27414054487005</v>
      </c>
    </row>
    <row r="21" spans="1:3" x14ac:dyDescent="0.25">
      <c r="A21" t="s">
        <v>516</v>
      </c>
      <c r="B21">
        <f>YIELD(B10,B3,B4,B17,B6,B7,B8)</f>
        <v>4.8999999990509344E-2</v>
      </c>
    </row>
    <row r="23" spans="1:3" x14ac:dyDescent="0.25">
      <c r="A23" t="s">
        <v>517</v>
      </c>
      <c r="B23">
        <f>DURATION(B10,$B$3,$B$4,$B$5,$B$7,$B$8)</f>
        <v>1.9346661610263065</v>
      </c>
    </row>
    <row r="24" spans="1:3" x14ac:dyDescent="0.25">
      <c r="A24" t="s">
        <v>518</v>
      </c>
      <c r="B24">
        <f>DURATION(C10,$B$3,$B$4,$B$5,$B$7,$B$8)</f>
        <v>1.2921317743410898</v>
      </c>
    </row>
    <row r="26" spans="1:3" x14ac:dyDescent="0.25">
      <c r="A26" t="s">
        <v>519</v>
      </c>
      <c r="B26">
        <v>1000</v>
      </c>
    </row>
    <row r="27" spans="1:3" x14ac:dyDescent="0.25">
      <c r="A27" t="s">
        <v>498</v>
      </c>
      <c r="B27">
        <v>42460</v>
      </c>
    </row>
    <row r="28" spans="1:3" x14ac:dyDescent="0.25">
      <c r="A28" t="s">
        <v>520</v>
      </c>
      <c r="B28">
        <v>42551</v>
      </c>
    </row>
    <row r="29" spans="1:3" x14ac:dyDescent="0.25">
      <c r="A29" t="s">
        <v>521</v>
      </c>
      <c r="B29" s="65">
        <v>5.5E-2</v>
      </c>
    </row>
    <row r="30" spans="1:3" x14ac:dyDescent="0.25">
      <c r="A30" t="s">
        <v>522</v>
      </c>
      <c r="B30">
        <f>TBILLPRICE(B27, B28, B29)</f>
        <v>98.609722222222217</v>
      </c>
    </row>
    <row r="31" spans="1:3" x14ac:dyDescent="0.25">
      <c r="A31" t="s">
        <v>523</v>
      </c>
      <c r="B31">
        <f>10*B30</f>
        <v>986.09722222222217</v>
      </c>
    </row>
    <row r="33" spans="1:2" x14ac:dyDescent="0.25">
      <c r="A33" t="s">
        <v>521</v>
      </c>
      <c r="B33">
        <f>DISC(B27, B28, B30, 100, 2)</f>
        <v>5.5000000000000167E-2</v>
      </c>
    </row>
    <row r="34" spans="1:2" x14ac:dyDescent="0.25">
      <c r="A34" t="s">
        <v>524</v>
      </c>
      <c r="B34">
        <f>TBILLYIELD(B27, B28, B30)</f>
        <v>5.5775433456809458E-2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Folhas de cálculo</vt:lpstr>
      </vt:variant>
      <vt:variant>
        <vt:i4>21</vt:i4>
      </vt:variant>
      <vt:variant>
        <vt:lpstr>Gráficos</vt:lpstr>
      </vt:variant>
      <vt:variant>
        <vt:i4>1</vt:i4>
      </vt:variant>
      <vt:variant>
        <vt:lpstr>Intervalos com nome</vt:lpstr>
      </vt:variant>
      <vt:variant>
        <vt:i4>7</vt:i4>
      </vt:variant>
    </vt:vector>
  </HeadingPairs>
  <TitlesOfParts>
    <vt:vector size="29" baseType="lpstr">
      <vt:lpstr>Empregados</vt:lpstr>
      <vt:lpstr>Produtos</vt:lpstr>
      <vt:lpstr>Vendas</vt:lpstr>
      <vt:lpstr>Funções</vt:lpstr>
      <vt:lpstr>Ordenados</vt:lpstr>
      <vt:lpstr>Distribuições</vt:lpstr>
      <vt:lpstr>Testes</vt:lpstr>
      <vt:lpstr>Anova</vt:lpstr>
      <vt:lpstr>Relatório de Resposta 1</vt:lpstr>
      <vt:lpstr>Matemática</vt:lpstr>
      <vt:lpstr>JurosRendas</vt:lpstr>
      <vt:lpstr>Simulação</vt:lpstr>
      <vt:lpstr>Cenários</vt:lpstr>
      <vt:lpstr>Sumário do cenário</vt:lpstr>
      <vt:lpstr>Bal13</vt:lpstr>
      <vt:lpstr>Bal14</vt:lpstr>
      <vt:lpstr>Bal15</vt:lpstr>
      <vt:lpstr>Contas</vt:lpstr>
      <vt:lpstr>Amortizações</vt:lpstr>
      <vt:lpstr>Investimentos</vt:lpstr>
      <vt:lpstr>Títulos</vt:lpstr>
      <vt:lpstr>Graf Resultados</vt:lpstr>
      <vt:lpstr>Empregados!Área_de_Impressão</vt:lpstr>
      <vt:lpstr>Empregados!Criterios</vt:lpstr>
      <vt:lpstr>Empregados!Títulos_de_Impressão</vt:lpstr>
      <vt:lpstr>Valor_do_Stock</vt:lpstr>
      <vt:lpstr>x_1</vt:lpstr>
      <vt:lpstr>x_2</vt:lpstr>
      <vt:lpstr>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Dias Curto</dc:creator>
  <cp:lastModifiedBy>José Dias Curto</cp:lastModifiedBy>
  <cp:lastPrinted>2016-09-06T21:06:14Z</cp:lastPrinted>
  <dcterms:created xsi:type="dcterms:W3CDTF">2016-09-06T08:33:47Z</dcterms:created>
  <dcterms:modified xsi:type="dcterms:W3CDTF">2016-10-31T15:21:48Z</dcterms:modified>
</cp:coreProperties>
</file>