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DC\OneDrive - ISCTE-IUL\Pessoais\site\"/>
    </mc:Choice>
  </mc:AlternateContent>
  <xr:revisionPtr revIDLastSave="0" documentId="8_{5FAA97E9-B9CF-4D35-925B-C0FB961C5CAA}" xr6:coauthVersionLast="36" xr6:coauthVersionMax="36" xr10:uidLastSave="{00000000-0000-0000-0000-000000000000}"/>
  <bookViews>
    <workbookView xWindow="0" yWindow="0" windowWidth="23040" windowHeight="8940" activeTab="8" xr2:uid="{782688C3-AA08-4FA0-917B-F736D313B87E}"/>
  </bookViews>
  <sheets>
    <sheet name="V3" sheetId="1" r:id="rId1"/>
    <sheet name="V4" sheetId="2" r:id="rId2"/>
    <sheet name="V5" sheetId="3" r:id="rId3"/>
    <sheet name="V6" sheetId="4" r:id="rId4"/>
    <sheet name="V7" sheetId="5" r:id="rId5"/>
    <sheet name="V8" sheetId="6" r:id="rId6"/>
    <sheet name="Scenario Summary" sheetId="8" r:id="rId7"/>
    <sheet name="V9" sheetId="7" r:id="rId8"/>
    <sheet name="V10" sheetId="9" r:id="rId9"/>
    <sheet name="V11" sheetId="10" r:id="rId10"/>
    <sheet name="V12" sheetId="11" r:id="rId11"/>
  </sheets>
  <calcPr calcId="191029"/>
  <pivotCaches>
    <pivotCache cacheId="0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5" i="11"/>
  <c r="D3" i="11"/>
  <c r="C4" i="11"/>
  <c r="B24" i="11" l="1"/>
  <c r="B7" i="11"/>
  <c r="B6" i="11"/>
  <c r="B9" i="11"/>
  <c r="B8" i="11"/>
  <c r="L6" i="9" l="1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12" i="9"/>
  <c r="F13" i="9"/>
  <c r="H13" i="9" s="1"/>
  <c r="F14" i="9"/>
  <c r="H14" i="9" s="1"/>
  <c r="F15" i="9"/>
  <c r="H15" i="9" s="1"/>
  <c r="F16" i="9"/>
  <c r="H16" i="9" s="1"/>
  <c r="F17" i="9"/>
  <c r="H17" i="9" s="1"/>
  <c r="F18" i="9"/>
  <c r="H18" i="9" s="1"/>
  <c r="F19" i="9"/>
  <c r="H19" i="9" s="1"/>
  <c r="F20" i="9"/>
  <c r="H20" i="9" s="1"/>
  <c r="F21" i="9"/>
  <c r="H21" i="9" s="1"/>
  <c r="F22" i="9"/>
  <c r="H22" i="9" s="1"/>
  <c r="F23" i="9"/>
  <c r="H23" i="9" s="1"/>
  <c r="F24" i="9"/>
  <c r="H24" i="9" s="1"/>
  <c r="F25" i="9"/>
  <c r="H25" i="9" s="1"/>
  <c r="F26" i="9"/>
  <c r="H26" i="9" s="1"/>
  <c r="F27" i="9"/>
  <c r="H27" i="9" s="1"/>
  <c r="F28" i="9"/>
  <c r="H28" i="9" s="1"/>
  <c r="F29" i="9"/>
  <c r="H29" i="9" s="1"/>
  <c r="F30" i="9"/>
  <c r="H30" i="9" s="1"/>
  <c r="F31" i="9"/>
  <c r="H31" i="9" s="1"/>
  <c r="F32" i="9"/>
  <c r="H32" i="9" s="1"/>
  <c r="F33" i="9"/>
  <c r="H33" i="9" s="1"/>
  <c r="F34" i="9"/>
  <c r="H34" i="9" s="1"/>
  <c r="F35" i="9"/>
  <c r="H35" i="9" s="1"/>
  <c r="F36" i="9"/>
  <c r="H36" i="9" s="1"/>
  <c r="F37" i="9"/>
  <c r="H37" i="9" s="1"/>
  <c r="F38" i="9"/>
  <c r="H38" i="9" s="1"/>
  <c r="F39" i="9"/>
  <c r="H39" i="9" s="1"/>
  <c r="F40" i="9"/>
  <c r="H40" i="9" s="1"/>
  <c r="F41" i="9"/>
  <c r="H41" i="9" s="1"/>
  <c r="F42" i="9"/>
  <c r="H42" i="9" s="1"/>
  <c r="F43" i="9"/>
  <c r="H43" i="9" s="1"/>
  <c r="F44" i="9"/>
  <c r="H44" i="9" s="1"/>
  <c r="F45" i="9"/>
  <c r="H45" i="9" s="1"/>
  <c r="F46" i="9"/>
  <c r="H46" i="9" s="1"/>
  <c r="F47" i="9"/>
  <c r="H47" i="9" s="1"/>
  <c r="F48" i="9"/>
  <c r="H48" i="9" s="1"/>
  <c r="F49" i="9"/>
  <c r="H49" i="9" s="1"/>
  <c r="F50" i="9"/>
  <c r="H50" i="9" s="1"/>
  <c r="F51" i="9"/>
  <c r="H51" i="9" s="1"/>
  <c r="F52" i="9"/>
  <c r="H52" i="9" s="1"/>
  <c r="F53" i="9"/>
  <c r="H53" i="9" s="1"/>
  <c r="F54" i="9"/>
  <c r="H54" i="9" s="1"/>
  <c r="F55" i="9"/>
  <c r="H55" i="9" s="1"/>
  <c r="F56" i="9"/>
  <c r="H56" i="9" s="1"/>
  <c r="F57" i="9"/>
  <c r="H57" i="9" s="1"/>
  <c r="F58" i="9"/>
  <c r="H58" i="9" s="1"/>
  <c r="F59" i="9"/>
  <c r="H59" i="9" s="1"/>
  <c r="F60" i="9"/>
  <c r="H60" i="9" s="1"/>
  <c r="F61" i="9"/>
  <c r="H61" i="9" s="1"/>
  <c r="F62" i="9"/>
  <c r="H62" i="9" s="1"/>
  <c r="F63" i="9"/>
  <c r="H63" i="9" s="1"/>
  <c r="F64" i="9"/>
  <c r="H64" i="9" s="1"/>
  <c r="F65" i="9"/>
  <c r="H65" i="9" s="1"/>
  <c r="F66" i="9"/>
  <c r="H66" i="9" s="1"/>
  <c r="F67" i="9"/>
  <c r="H67" i="9" s="1"/>
  <c r="F68" i="9"/>
  <c r="H68" i="9" s="1"/>
  <c r="F69" i="9"/>
  <c r="H69" i="9" s="1"/>
  <c r="F70" i="9"/>
  <c r="H70" i="9" s="1"/>
  <c r="F71" i="9"/>
  <c r="H71" i="9" s="1"/>
  <c r="F72" i="9"/>
  <c r="H72" i="9" s="1"/>
  <c r="F73" i="9"/>
  <c r="F74" i="9"/>
  <c r="H74" i="9" s="1"/>
  <c r="F75" i="9"/>
  <c r="H75" i="9" s="1"/>
  <c r="F76" i="9"/>
  <c r="H76" i="9" s="1"/>
  <c r="F77" i="9"/>
  <c r="H77" i="9" s="1"/>
  <c r="F78" i="9"/>
  <c r="H78" i="9" s="1"/>
  <c r="F79" i="9"/>
  <c r="H79" i="9" s="1"/>
  <c r="F80" i="9"/>
  <c r="H80" i="9" s="1"/>
  <c r="F81" i="9"/>
  <c r="H81" i="9" s="1"/>
  <c r="F82" i="9"/>
  <c r="H82" i="9" s="1"/>
  <c r="F83" i="9"/>
  <c r="H83" i="9" s="1"/>
  <c r="F84" i="9"/>
  <c r="H84" i="9" s="1"/>
  <c r="F85" i="9"/>
  <c r="H85" i="9" s="1"/>
  <c r="F86" i="9"/>
  <c r="H86" i="9" s="1"/>
  <c r="F87" i="9"/>
  <c r="H87" i="9" s="1"/>
  <c r="F88" i="9"/>
  <c r="H88" i="9" s="1"/>
  <c r="F89" i="9"/>
  <c r="H89" i="9" s="1"/>
  <c r="F90" i="9"/>
  <c r="H90" i="9" s="1"/>
  <c r="F91" i="9"/>
  <c r="H91" i="9" s="1"/>
  <c r="F92" i="9"/>
  <c r="H92" i="9" s="1"/>
  <c r="F93" i="9"/>
  <c r="H93" i="9" s="1"/>
  <c r="F94" i="9"/>
  <c r="H94" i="9" s="1"/>
  <c r="F95" i="9"/>
  <c r="H95" i="9" s="1"/>
  <c r="F96" i="9"/>
  <c r="H96" i="9" s="1"/>
  <c r="F97" i="9"/>
  <c r="H97" i="9" s="1"/>
  <c r="F98" i="9"/>
  <c r="H98" i="9" s="1"/>
  <c r="F99" i="9"/>
  <c r="H99" i="9" s="1"/>
  <c r="F100" i="9"/>
  <c r="H100" i="9" s="1"/>
  <c r="F101" i="9"/>
  <c r="H101" i="9" s="1"/>
  <c r="F102" i="9"/>
  <c r="H102" i="9" s="1"/>
  <c r="F103" i="9"/>
  <c r="H103" i="9" s="1"/>
  <c r="F104" i="9"/>
  <c r="F105" i="9"/>
  <c r="H105" i="9" s="1"/>
  <c r="F106" i="9"/>
  <c r="H106" i="9" s="1"/>
  <c r="F107" i="9"/>
  <c r="H107" i="9" s="1"/>
  <c r="F108" i="9"/>
  <c r="H108" i="9" s="1"/>
  <c r="F109" i="9"/>
  <c r="H109" i="9" s="1"/>
  <c r="F110" i="9"/>
  <c r="H110" i="9" s="1"/>
  <c r="F111" i="9"/>
  <c r="H111" i="9" s="1"/>
  <c r="F112" i="9"/>
  <c r="H112" i="9" s="1"/>
  <c r="F113" i="9"/>
  <c r="H113" i="9" s="1"/>
  <c r="F114" i="9"/>
  <c r="H114" i="9" s="1"/>
  <c r="F115" i="9"/>
  <c r="H115" i="9" s="1"/>
  <c r="F116" i="9"/>
  <c r="H116" i="9" s="1"/>
  <c r="F117" i="9"/>
  <c r="H117" i="9" s="1"/>
  <c r="F118" i="9"/>
  <c r="H118" i="9" s="1"/>
  <c r="F119" i="9"/>
  <c r="H119" i="9" s="1"/>
  <c r="F120" i="9"/>
  <c r="H120" i="9" s="1"/>
  <c r="F121" i="9"/>
  <c r="H121" i="9" s="1"/>
  <c r="F122" i="9"/>
  <c r="H122" i="9" s="1"/>
  <c r="F123" i="9"/>
  <c r="H123" i="9" s="1"/>
  <c r="F124" i="9"/>
  <c r="H124" i="9" s="1"/>
  <c r="F125" i="9"/>
  <c r="H125" i="9" s="1"/>
  <c r="F126" i="9"/>
  <c r="H126" i="9" s="1"/>
  <c r="F127" i="9"/>
  <c r="H127" i="9" s="1"/>
  <c r="F128" i="9"/>
  <c r="H128" i="9" s="1"/>
  <c r="F129" i="9"/>
  <c r="H129" i="9" s="1"/>
  <c r="F130" i="9"/>
  <c r="H130" i="9" s="1"/>
  <c r="F131" i="9"/>
  <c r="H131" i="9" s="1"/>
  <c r="F132" i="9"/>
  <c r="H132" i="9" s="1"/>
  <c r="F133" i="9"/>
  <c r="H133" i="9" s="1"/>
  <c r="F134" i="9"/>
  <c r="H134" i="9" s="1"/>
  <c r="F135" i="9"/>
  <c r="H135" i="9" s="1"/>
  <c r="F136" i="9"/>
  <c r="H136" i="9" s="1"/>
  <c r="F137" i="9"/>
  <c r="H137" i="9" s="1"/>
  <c r="F138" i="9"/>
  <c r="H138" i="9" s="1"/>
  <c r="F139" i="9"/>
  <c r="H139" i="9" s="1"/>
  <c r="F140" i="9"/>
  <c r="H140" i="9" s="1"/>
  <c r="F141" i="9"/>
  <c r="H141" i="9" s="1"/>
  <c r="F142" i="9"/>
  <c r="H142" i="9" s="1"/>
  <c r="F143" i="9"/>
  <c r="H143" i="9" s="1"/>
  <c r="F144" i="9"/>
  <c r="H144" i="9" s="1"/>
  <c r="F145" i="9"/>
  <c r="H145" i="9" s="1"/>
  <c r="F146" i="9"/>
  <c r="H146" i="9" s="1"/>
  <c r="F147" i="9"/>
  <c r="H147" i="9" s="1"/>
  <c r="F148" i="9"/>
  <c r="H148" i="9" s="1"/>
  <c r="F149" i="9"/>
  <c r="H149" i="9" s="1"/>
  <c r="F150" i="9"/>
  <c r="H150" i="9" s="1"/>
  <c r="F151" i="9"/>
  <c r="H151" i="9" s="1"/>
  <c r="F152" i="9"/>
  <c r="H152" i="9" s="1"/>
  <c r="F153" i="9"/>
  <c r="H153" i="9" s="1"/>
  <c r="F154" i="9"/>
  <c r="H154" i="9" s="1"/>
  <c r="F155" i="9"/>
  <c r="H155" i="9" s="1"/>
  <c r="F156" i="9"/>
  <c r="H156" i="9" s="1"/>
  <c r="F157" i="9"/>
  <c r="H157" i="9" s="1"/>
  <c r="F158" i="9"/>
  <c r="H158" i="9" s="1"/>
  <c r="F159" i="9"/>
  <c r="F160" i="9"/>
  <c r="H160" i="9" s="1"/>
  <c r="F161" i="9"/>
  <c r="H161" i="9" s="1"/>
  <c r="F162" i="9"/>
  <c r="H162" i="9" s="1"/>
  <c r="F163" i="9"/>
  <c r="H163" i="9" s="1"/>
  <c r="F164" i="9"/>
  <c r="H164" i="9" s="1"/>
  <c r="F165" i="9"/>
  <c r="H165" i="9" s="1"/>
  <c r="F166" i="9"/>
  <c r="H166" i="9" s="1"/>
  <c r="F167" i="9"/>
  <c r="H167" i="9" s="1"/>
  <c r="F168" i="9"/>
  <c r="H168" i="9" s="1"/>
  <c r="F169" i="9"/>
  <c r="H169" i="9" s="1"/>
  <c r="F170" i="9"/>
  <c r="H170" i="9" s="1"/>
  <c r="F171" i="9"/>
  <c r="H171" i="9" s="1"/>
  <c r="F172" i="9"/>
  <c r="H172" i="9" s="1"/>
  <c r="F173" i="9"/>
  <c r="H173" i="9" s="1"/>
  <c r="F174" i="9"/>
  <c r="H174" i="9" s="1"/>
  <c r="F175" i="9"/>
  <c r="H175" i="9" s="1"/>
  <c r="F176" i="9"/>
  <c r="H176" i="9" s="1"/>
  <c r="F177" i="9"/>
  <c r="H177" i="9" s="1"/>
  <c r="F178" i="9"/>
  <c r="H178" i="9" s="1"/>
  <c r="F179" i="9"/>
  <c r="H179" i="9" s="1"/>
  <c r="F180" i="9"/>
  <c r="H180" i="9" s="1"/>
  <c r="F181" i="9"/>
  <c r="H181" i="9" s="1"/>
  <c r="F182" i="9"/>
  <c r="H182" i="9" s="1"/>
  <c r="F183" i="9"/>
  <c r="H183" i="9" s="1"/>
  <c r="F184" i="9"/>
  <c r="H184" i="9" s="1"/>
  <c r="F185" i="9"/>
  <c r="H185" i="9" s="1"/>
  <c r="F186" i="9"/>
  <c r="H186" i="9" s="1"/>
  <c r="F187" i="9"/>
  <c r="H187" i="9" s="1"/>
  <c r="F188" i="9"/>
  <c r="H188" i="9" s="1"/>
  <c r="F189" i="9"/>
  <c r="H189" i="9" s="1"/>
  <c r="F190" i="9"/>
  <c r="H190" i="9" s="1"/>
  <c r="F191" i="9"/>
  <c r="H191" i="9" s="1"/>
  <c r="F192" i="9"/>
  <c r="H192" i="9" s="1"/>
  <c r="F193" i="9"/>
  <c r="H193" i="9" s="1"/>
  <c r="F194" i="9"/>
  <c r="H194" i="9" s="1"/>
  <c r="F195" i="9"/>
  <c r="H195" i="9" s="1"/>
  <c r="F196" i="9"/>
  <c r="H196" i="9" s="1"/>
  <c r="F197" i="9"/>
  <c r="H197" i="9" s="1"/>
  <c r="F198" i="9"/>
  <c r="H198" i="9" s="1"/>
  <c r="F199" i="9"/>
  <c r="H199" i="9" s="1"/>
  <c r="F200" i="9"/>
  <c r="H200" i="9" s="1"/>
  <c r="F201" i="9"/>
  <c r="H201" i="9" s="1"/>
  <c r="F202" i="9"/>
  <c r="H202" i="9" s="1"/>
  <c r="F203" i="9"/>
  <c r="H203" i="9" s="1"/>
  <c r="F204" i="9"/>
  <c r="H204" i="9" s="1"/>
  <c r="F205" i="9"/>
  <c r="H205" i="9" s="1"/>
  <c r="F206" i="9"/>
  <c r="H206" i="9" s="1"/>
  <c r="F207" i="9"/>
  <c r="H207" i="9" s="1"/>
  <c r="F208" i="9"/>
  <c r="H208" i="9" s="1"/>
  <c r="F209" i="9"/>
  <c r="H209" i="9" s="1"/>
  <c r="F210" i="9"/>
  <c r="H210" i="9" s="1"/>
  <c r="F211" i="9"/>
  <c r="H211" i="9" s="1"/>
  <c r="F212" i="9"/>
  <c r="H212" i="9" s="1"/>
  <c r="F213" i="9"/>
  <c r="H213" i="9" s="1"/>
  <c r="F214" i="9"/>
  <c r="H214" i="9" s="1"/>
  <c r="F215" i="9"/>
  <c r="H215" i="9" s="1"/>
  <c r="F216" i="9"/>
  <c r="H216" i="9" s="1"/>
  <c r="F217" i="9"/>
  <c r="H217" i="9" s="1"/>
  <c r="F218" i="9"/>
  <c r="H218" i="9" s="1"/>
  <c r="F219" i="9"/>
  <c r="H219" i="9" s="1"/>
  <c r="F220" i="9"/>
  <c r="H220" i="9" s="1"/>
  <c r="F221" i="9"/>
  <c r="H221" i="9" s="1"/>
  <c r="F222" i="9"/>
  <c r="H222" i="9" s="1"/>
  <c r="F223" i="9"/>
  <c r="H223" i="9" s="1"/>
  <c r="F224" i="9"/>
  <c r="H224" i="9" s="1"/>
  <c r="F225" i="9"/>
  <c r="H225" i="9" s="1"/>
  <c r="F226" i="9"/>
  <c r="H226" i="9" s="1"/>
  <c r="F227" i="9"/>
  <c r="H227" i="9" s="1"/>
  <c r="F228" i="9"/>
  <c r="H228" i="9" s="1"/>
  <c r="F229" i="9"/>
  <c r="H229" i="9" s="1"/>
  <c r="F230" i="9"/>
  <c r="H230" i="9" s="1"/>
  <c r="F231" i="9"/>
  <c r="H231" i="9" s="1"/>
  <c r="F232" i="9"/>
  <c r="H232" i="9" s="1"/>
  <c r="F233" i="9"/>
  <c r="H233" i="9" s="1"/>
  <c r="F234" i="9"/>
  <c r="H234" i="9" s="1"/>
  <c r="F235" i="9"/>
  <c r="H235" i="9" s="1"/>
  <c r="F236" i="9"/>
  <c r="H236" i="9" s="1"/>
  <c r="F237" i="9"/>
  <c r="H237" i="9" s="1"/>
  <c r="F238" i="9"/>
  <c r="H238" i="9" s="1"/>
  <c r="F239" i="9"/>
  <c r="H239" i="9" s="1"/>
  <c r="F240" i="9"/>
  <c r="H240" i="9" s="1"/>
  <c r="F241" i="9"/>
  <c r="H241" i="9" s="1"/>
  <c r="F242" i="9"/>
  <c r="H242" i="9" s="1"/>
  <c r="F243" i="9"/>
  <c r="H243" i="9" s="1"/>
  <c r="F244" i="9"/>
  <c r="H244" i="9" s="1"/>
  <c r="F245" i="9"/>
  <c r="H245" i="9" s="1"/>
  <c r="F246" i="9"/>
  <c r="H246" i="9" s="1"/>
  <c r="F247" i="9"/>
  <c r="H247" i="9" s="1"/>
  <c r="F248" i="9"/>
  <c r="H248" i="9" s="1"/>
  <c r="F249" i="9"/>
  <c r="H249" i="9" s="1"/>
  <c r="F250" i="9"/>
  <c r="H250" i="9" s="1"/>
  <c r="F251" i="9"/>
  <c r="H251" i="9" s="1"/>
  <c r="F12" i="9"/>
  <c r="H12" i="9" s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12" i="9"/>
  <c r="E8" i="9"/>
  <c r="E6" i="9"/>
  <c r="E5" i="9"/>
  <c r="H159" i="9" l="1"/>
  <c r="H73" i="9"/>
  <c r="H104" i="9"/>
  <c r="F9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K7" i="9"/>
  <c r="K6" i="9" s="1"/>
  <c r="G2" i="7" l="1"/>
  <c r="C6" i="6" l="1"/>
  <c r="N23" i="5" l="1"/>
  <c r="N22" i="5"/>
  <c r="D11" i="5" l="1"/>
  <c r="D10" i="5"/>
  <c r="D5" i="5"/>
  <c r="D2" i="5"/>
  <c r="D6" i="5"/>
  <c r="D16" i="5"/>
  <c r="D15" i="5"/>
  <c r="D14" i="5"/>
  <c r="D12" i="5"/>
  <c r="D8" i="5" l="1"/>
  <c r="D7" i="5"/>
  <c r="D4" i="5"/>
  <c r="D3" i="5"/>
  <c r="D23" i="5" l="1"/>
  <c r="D18" i="5" l="1"/>
  <c r="D25" i="5"/>
  <c r="D24" i="5"/>
  <c r="D22" i="5"/>
  <c r="D21" i="5"/>
  <c r="D19" i="5"/>
  <c r="H16" i="4" l="1"/>
  <c r="H15" i="4"/>
  <c r="E3" i="3" l="1"/>
  <c r="E4" i="3"/>
  <c r="E5" i="3"/>
  <c r="E6" i="3"/>
  <c r="E7" i="3"/>
  <c r="E2" i="3"/>
  <c r="D3" i="3"/>
  <c r="D4" i="3"/>
  <c r="D5" i="3"/>
  <c r="D6" i="3"/>
  <c r="D7" i="3"/>
  <c r="D2" i="3"/>
  <c r="C7" i="3"/>
  <c r="F11" i="1"/>
  <c r="F10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<sst xmlns="http://schemas.openxmlformats.org/spreadsheetml/2006/main" count="275" uniqueCount="179">
  <si>
    <t>Parênteses</t>
  </si>
  <si>
    <t>Exponenciação</t>
  </si>
  <si>
    <t>Multiplicação/Divisão</t>
  </si>
  <si>
    <t>Operadores aritméticos</t>
  </si>
  <si>
    <t>^</t>
  </si>
  <si>
    <t>/</t>
  </si>
  <si>
    <t>Divisão</t>
  </si>
  <si>
    <t xml:space="preserve">* </t>
  </si>
  <si>
    <t>Multiplicação</t>
  </si>
  <si>
    <t>+</t>
  </si>
  <si>
    <t>-</t>
  </si>
  <si>
    <t>Soma/Diferença</t>
  </si>
  <si>
    <t>Precedência nas fórmulas</t>
  </si>
  <si>
    <t>Soma ou Adição</t>
  </si>
  <si>
    <t>Subtração ou Diferença</t>
  </si>
  <si>
    <t>Copiar</t>
  </si>
  <si>
    <t>Cortar</t>
  </si>
  <si>
    <t>Empresa</t>
  </si>
  <si>
    <t>A</t>
  </si>
  <si>
    <t>B</t>
  </si>
  <si>
    <t>C</t>
  </si>
  <si>
    <t>D</t>
  </si>
  <si>
    <t xml:space="preserve">E </t>
  </si>
  <si>
    <t>Vendas</t>
  </si>
  <si>
    <t>Total</t>
  </si>
  <si>
    <t>% 1</t>
  </si>
  <si>
    <t>%2</t>
  </si>
  <si>
    <t>Género</t>
  </si>
  <si>
    <t>Cidade</t>
  </si>
  <si>
    <t>Zona</t>
  </si>
  <si>
    <t>Salário</t>
  </si>
  <si>
    <t>Anos de trabalho</t>
  </si>
  <si>
    <t>M</t>
  </si>
  <si>
    <t>Lisboa</t>
  </si>
  <si>
    <t>Urbana</t>
  </si>
  <si>
    <t>F</t>
  </si>
  <si>
    <t>Porto</t>
  </si>
  <si>
    <t>Rural</t>
  </si>
  <si>
    <t>Row Labels</t>
  </si>
  <si>
    <t>Average of Salário</t>
  </si>
  <si>
    <t>StdDevp of Salário2</t>
  </si>
  <si>
    <t>Average of Anos de trabalho</t>
  </si>
  <si>
    <t>StdDevp of Anos de trabalho2</t>
  </si>
  <si>
    <t>Braga</t>
  </si>
  <si>
    <t>Grand Total</t>
  </si>
  <si>
    <t>Média Aritmética</t>
  </si>
  <si>
    <t>Média Geométrica</t>
  </si>
  <si>
    <t>Média Harmónica</t>
  </si>
  <si>
    <t>Média Aparada</t>
  </si>
  <si>
    <t>Mediana</t>
  </si>
  <si>
    <t>Moda</t>
  </si>
  <si>
    <t>Quartis</t>
  </si>
  <si>
    <t>Percentis</t>
  </si>
  <si>
    <t>Variância</t>
  </si>
  <si>
    <t>/n</t>
  </si>
  <si>
    <t>/(n-1)</t>
  </si>
  <si>
    <t>D-Padrão</t>
  </si>
  <si>
    <t>Coeficiente de Assimetria</t>
  </si>
  <si>
    <t>Suplemento: Analysis ToolPack</t>
  </si>
  <si>
    <t>=AVERAGE(A2:A11)</t>
  </si>
  <si>
    <t>=GEOMEAN(A2:A11)</t>
  </si>
  <si>
    <t>=HARMEAN(A2:A11)</t>
  </si>
  <si>
    <t>=MEDIAN(A2:A11)</t>
  </si>
  <si>
    <t>=MODE.SNGL(A2:A11)</t>
  </si>
  <si>
    <t>=QUARTILE.INC(A2:A11;C9)</t>
  </si>
  <si>
    <t>=QUARTILE.INC(A2:A11;C10)</t>
  </si>
  <si>
    <t>=QUARTILE.INC(A2:A11;C11)</t>
  </si>
  <si>
    <t>=PERCENTILE.INC(A2:A11;C13)</t>
  </si>
  <si>
    <t>=PERCENTILE.INC(A2:A11;C14)</t>
  </si>
  <si>
    <t>=PERCENTILE.INC(A2:A11;C15)</t>
  </si>
  <si>
    <t>=VAR.S(A2:A11)</t>
  </si>
  <si>
    <t>=STDEV.P(A2:A11)</t>
  </si>
  <si>
    <t>=STDEV.S(A2:A11)</t>
  </si>
  <si>
    <t>=SKEW(A2:A11)</t>
  </si>
  <si>
    <t>=KURT(A2:A11)</t>
  </si>
  <si>
    <t>https://silabo.pt/catalogo/informatica/folhas-de-calculo/livro/excel-para-economia-e-gestao/</t>
  </si>
  <si>
    <t>PARTE VI</t>
  </si>
  <si>
    <t>=VAR.P(A2:A11)</t>
  </si>
  <si>
    <t>Limite Inferior</t>
  </si>
  <si>
    <t>Limite Superior</t>
  </si>
  <si>
    <t>Desvio Absoluto Médio</t>
  </si>
  <si>
    <t>=AVEDEV(A2:A11)</t>
  </si>
  <si>
    <t>=TRIMMEAN(A2:A11;20%)</t>
  </si>
  <si>
    <t>Coeficiente de Curtose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</si>
  <si>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</si>
  <si>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</si>
  <si>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</si>
  <si>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</si>
  <si>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</si>
  <si>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</si>
  <si>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</si>
  <si>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</si>
  <si>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</si>
  <si>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</si>
  <si>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</si>
  <si>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</si>
  <si>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</si>
  <si>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Largest(3)</t>
  </si>
  <si>
    <t>Smallest(5)</t>
  </si>
  <si>
    <t>Confidence Level(95.0%)</t>
  </si>
  <si>
    <t>Poupança diária</t>
  </si>
  <si>
    <t>Total da poupança</t>
  </si>
  <si>
    <t>Número de dias (????)</t>
  </si>
  <si>
    <t>CENÁRIOS</t>
  </si>
  <si>
    <t xml:space="preserve">  Otimista</t>
  </si>
  <si>
    <t xml:space="preserve">  Moderado</t>
  </si>
  <si>
    <t xml:space="preserve">  Pessimista</t>
  </si>
  <si>
    <t>GANHO/PERDA</t>
  </si>
  <si>
    <t>VARIAÇÃO %</t>
  </si>
  <si>
    <t>QUANTIDADE DE AÇÕES</t>
  </si>
  <si>
    <t>PREÇO DE AQUISIÇÃO</t>
  </si>
  <si>
    <t>Otimista</t>
  </si>
  <si>
    <t>Created by JJDC on 29/09/2023</t>
  </si>
  <si>
    <t>Moderado</t>
  </si>
  <si>
    <t>Pessimista</t>
  </si>
  <si>
    <t>Scenario Summary</t>
  </si>
  <si>
    <t>Changing Cells:</t>
  </si>
  <si>
    <t>Current Values:</t>
  </si>
  <si>
    <t>Result Cells:</t>
  </si>
  <si>
    <t>Notes:  Current Values column represents values of changing cells at</t>
  </si>
  <si>
    <t>time Scenario Summary Report was created.  Changing cells for each</t>
  </si>
  <si>
    <t>scenario are highlighted in gray.</t>
  </si>
  <si>
    <t>Taxa de crescimento</t>
  </si>
  <si>
    <t>Mais/Menos-valia</t>
  </si>
  <si>
    <t>month</t>
  </si>
  <si>
    <t>euribor</t>
  </si>
  <si>
    <t>EMPRÉSTIMO BANCÁRIO</t>
  </si>
  <si>
    <t>https://sdw.ecb.europa.eu/browseTable.do?node=SEARCHRESULTS&amp;q=FM.M.U2.EUR.RT.MM.EURIBOR6MD_.HSTA</t>
  </si>
  <si>
    <t>P</t>
  </si>
  <si>
    <t>T (anos)</t>
  </si>
  <si>
    <t>Goal seek (Atingir objetivo)</t>
  </si>
  <si>
    <t>m (prestações anuais)</t>
  </si>
  <si>
    <t>Data, What-if-Analysis (Dados, Análise de Hipóteses)</t>
  </si>
  <si>
    <t>N (total das prestações)</t>
  </si>
  <si>
    <t>Euribor</t>
  </si>
  <si>
    <t>Taxa de Juro Anual</t>
  </si>
  <si>
    <t>Spread</t>
  </si>
  <si>
    <t>Taxa de juro Mensal</t>
  </si>
  <si>
    <t>Valor máximo que pode pagar</t>
  </si>
  <si>
    <t>Número da Prestação</t>
  </si>
  <si>
    <t>Prestação</t>
  </si>
  <si>
    <t xml:space="preserve">Capital </t>
  </si>
  <si>
    <t>Juro</t>
  </si>
  <si>
    <t>FUNÇÕES</t>
  </si>
  <si>
    <t>PMT (PGTO)</t>
  </si>
  <si>
    <t>CUMPRINC (PGTOCAPACUM)</t>
  </si>
  <si>
    <t>CUMIPMT (PGTOJURACUM)</t>
  </si>
  <si>
    <t>Fonte:</t>
  </si>
  <si>
    <t>EXEMPLO DO COMANDO "TABELA - TABLE"</t>
  </si>
  <si>
    <t>DEPÓSITO BANCÁRIO</t>
  </si>
  <si>
    <t>Valor (Value)</t>
  </si>
  <si>
    <t>Taxa de juro anual (Annual interest rate)</t>
  </si>
  <si>
    <t>Período (meses) Time (months)</t>
  </si>
  <si>
    <t>Juros a vencer (Interests)</t>
  </si>
  <si>
    <t>Valor</t>
  </si>
  <si>
    <t>Taxa de juro anual</t>
  </si>
  <si>
    <t>Período (meses)</t>
  </si>
  <si>
    <t>Juros a vencer</t>
  </si>
  <si>
    <t>LOGARITMO</t>
  </si>
  <si>
    <t>x</t>
  </si>
  <si>
    <t>log_6(36)</t>
  </si>
  <si>
    <t>y</t>
  </si>
  <si>
    <t>Preço de uma ação</t>
  </si>
  <si>
    <t>Simple return (R_t)</t>
  </si>
  <si>
    <t>Continuously compund return (r_t)</t>
  </si>
  <si>
    <r>
      <t xml:space="preserve">R_t </t>
    </r>
    <r>
      <rPr>
        <sz val="11"/>
        <color theme="1"/>
        <rFont val="Calibri"/>
        <family val="2"/>
      </rPr>
      <t>≈ r_t</t>
    </r>
  </si>
  <si>
    <t>quantos anos são necessários para atingir os 7000 euros?</t>
  </si>
  <si>
    <t>F = P (1+ taxa)^t</t>
  </si>
  <si>
    <t>Tomando o logaritmo natural de ambos os membros fica:</t>
  </si>
  <si>
    <t>Recorrendo à propriedade 3</t>
  </si>
  <si>
    <t>Se decidir aplicar 5000 euros a uma taxa de juro de 3% ao ano (em regime de juro composto),</t>
  </si>
  <si>
    <t>7000 = 5000 (1+0.03)^t</t>
  </si>
  <si>
    <t>(1+0.03)^t = 7000/5000 =1.4</t>
  </si>
  <si>
    <t>t ln(1+0.03) = ln(1.4) e</t>
  </si>
  <si>
    <t>t=ln(1.4)/ln(1.03) =</t>
  </si>
  <si>
    <t>(11.38 anos)</t>
  </si>
  <si>
    <t>LOG</t>
  </si>
  <si>
    <t>LOG10</t>
  </si>
  <si>
    <t>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</si>
</sst>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[$-816]mmm/yy;@"/>
    <numFmt numFmtId="165" formatCode="0.000%"/>
    <numFmt numFmtId="166" formatCode="0.0000%"/>
    <numFmt numFmtId="167" formatCode="0.000"/>
    <numFmt numFmtId="168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1C304B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E0E8EF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quotePrefix="1"/>
    <xf numFmtId="0" fontId="1" fillId="0" borderId="0" xfId="0" applyFont="1"/>
    <xf numFmtId="9" fontId="0" fillId="0" borderId="0" xfId="1" applyFont="1"/>
    <xf numFmtId="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  <xf numFmtId="2" fontId="0" fillId="0" borderId="0" xfId="0" applyNumberFormat="1"/>
    <xf numFmtId="0" fontId="0" fillId="0" borderId="0" xfId="0" quotePrefix="1" applyAlignment="1">
      <alignment horizontal="right"/>
    </xf>
    <xf numFmtId="2" fontId="0" fillId="0" borderId="0" xfId="0" quotePrefix="1" applyNumberFormat="1"/>
    <xf numFmtId="0" fontId="0" fillId="0" borderId="0" xfId="0" applyAlignment="1">
      <alignment horizontal="right"/>
    </xf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Continuous"/>
    </xf>
    <xf numFmtId="0" fontId="5" fillId="0" borderId="0" xfId="2" applyFont="1"/>
    <xf numFmtId="9" fontId="0" fillId="0" borderId="0" xfId="0" applyNumberFormat="1"/>
    <xf numFmtId="9" fontId="0" fillId="0" borderId="0" xfId="0" applyNumberFormat="1" applyFill="1" applyBorder="1" applyAlignment="1"/>
    <xf numFmtId="0" fontId="6" fillId="2" borderId="4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0" fillId="0" borderId="5" xfId="0" applyFill="1" applyBorder="1" applyAlignment="1"/>
    <xf numFmtId="0" fontId="7" fillId="3" borderId="0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right"/>
    </xf>
    <xf numFmtId="9" fontId="0" fillId="4" borderId="0" xfId="0" applyNumberFormat="1" applyFill="1" applyBorder="1" applyAlignment="1"/>
    <xf numFmtId="0" fontId="10" fillId="0" borderId="0" xfId="0" applyFont="1" applyFill="1" applyBorder="1" applyAlignment="1">
      <alignment vertical="top" wrapText="1"/>
    </xf>
    <xf numFmtId="164" fontId="0" fillId="0" borderId="0" xfId="0" applyNumberFormat="1"/>
    <xf numFmtId="165" fontId="0" fillId="0" borderId="0" xfId="1" applyNumberFormat="1" applyFont="1"/>
    <xf numFmtId="10" fontId="0" fillId="0" borderId="0" xfId="0" applyNumberFormat="1"/>
    <xf numFmtId="166" fontId="0" fillId="0" borderId="0" xfId="0" applyNumberFormat="1" applyFont="1"/>
    <xf numFmtId="165" fontId="0" fillId="0" borderId="0" xfId="0" applyNumberFormat="1"/>
    <xf numFmtId="0" fontId="11" fillId="0" borderId="0" xfId="0" applyFont="1"/>
    <xf numFmtId="166" fontId="0" fillId="0" borderId="0" xfId="1" applyNumberFormat="1" applyFont="1"/>
    <xf numFmtId="0" fontId="0" fillId="0" borderId="0" xfId="0" applyAlignment="1">
      <alignment horizontal="center"/>
    </xf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0" fontId="12" fillId="0" borderId="0" xfId="0" applyFont="1"/>
    <xf numFmtId="0" fontId="12" fillId="5" borderId="6" xfId="0" applyNumberFormat="1" applyFont="1" applyFill="1" applyBorder="1" applyAlignment="1">
      <alignment horizontal="right" vertical="top" wrapText="1"/>
    </xf>
    <xf numFmtId="0" fontId="0" fillId="0" borderId="0" xfId="0" applyFont="1"/>
    <xf numFmtId="10" fontId="0" fillId="0" borderId="0" xfId="1" applyNumberFormat="1" applyFont="1"/>
    <xf numFmtId="168" fontId="0" fillId="0" borderId="0" xfId="0" applyNumberForma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1</xdr:row>
      <xdr:rowOff>45720</xdr:rowOff>
    </xdr:from>
    <xdr:to>
      <xdr:col>10</xdr:col>
      <xdr:colOff>500301</xdr:colOff>
      <xdr:row>14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4649CA-E1B8-45B0-976B-24939F6A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8320" y="228600"/>
          <a:ext cx="3494961" cy="245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</xdr:colOff>
      <xdr:row>14</xdr:row>
      <xdr:rowOff>180938</xdr:rowOff>
    </xdr:from>
    <xdr:to>
      <xdr:col>7</xdr:col>
      <xdr:colOff>335280</xdr:colOff>
      <xdr:row>26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2DA4F-41E1-4A38-A128-33F9D32C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2741258"/>
          <a:ext cx="1546860" cy="218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205740</xdr:colOff>
      <xdr:row>2</xdr:row>
      <xdr:rowOff>104738</xdr:rowOff>
    </xdr:from>
    <xdr:to>
      <xdr:col>7</xdr:col>
      <xdr:colOff>533400</xdr:colOff>
      <xdr:row>14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77A15B-9397-4175-9BC0-2CD1B1F0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470498"/>
          <a:ext cx="1546860" cy="2188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8373</xdr:colOff>
      <xdr:row>4</xdr:row>
      <xdr:rowOff>180033</xdr:rowOff>
    </xdr:from>
    <xdr:to>
      <xdr:col>6</xdr:col>
      <xdr:colOff>403032</xdr:colOff>
      <xdr:row>14</xdr:row>
      <xdr:rowOff>4187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162873-C576-4E85-95D8-999784893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933" y="916912"/>
          <a:ext cx="1177594" cy="1666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</xdr:colOff>
      <xdr:row>5</xdr:row>
      <xdr:rowOff>2930</xdr:rowOff>
    </xdr:from>
    <xdr:to>
      <xdr:col>16</xdr:col>
      <xdr:colOff>76461</xdr:colOff>
      <xdr:row>24</xdr:row>
      <xdr:rowOff>49714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51A620-C11B-45D5-9711-7613D9996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917330"/>
          <a:ext cx="2499621" cy="3521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61221</xdr:colOff>
      <xdr:row>19</xdr:row>
      <xdr:rowOff>46784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A6697-A54A-4ECF-9CB4-22B61936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0"/>
          <a:ext cx="2499621" cy="3521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scteiul365-my.sharepoint.com/personal/jjdc_iscte-iul_pt/Documents/ActividadeDocente/V&#237;deos/ExcelV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JDC" refreshedDate="45183.432543055555" createdVersion="6" refreshedVersion="6" minRefreshableVersion="3" recordCount="20" xr:uid="{6E62045C-6346-47A8-9735-4935386E134C}">
  <cacheSource type="worksheet">
    <worksheetSource ref="A1:E21" sheet="Vídeo6" r:id="rId2"/>
  </cacheSource>
  <cacheFields count="5">
    <cacheField name="Género" numFmtId="0">
      <sharedItems count="2">
        <s v="M"/>
        <s v="F"/>
      </sharedItems>
    </cacheField>
    <cacheField name="Cidade" numFmtId="0">
      <sharedItems count="3">
        <s v="Lisboa"/>
        <s v="Porto"/>
        <s v="Braga"/>
      </sharedItems>
    </cacheField>
    <cacheField name="Zona" numFmtId="0">
      <sharedItems count="2">
        <s v="Urbana"/>
        <s v="Rural"/>
      </sharedItems>
    </cacheField>
    <cacheField name="Salário" numFmtId="0">
      <sharedItems containsSemiMixedTypes="0" containsString="0" containsNumber="1" containsInteger="1" minValue="1020" maxValue="3897"/>
    </cacheField>
    <cacheField name="Anos de trabalho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n v="3588"/>
    <n v="6"/>
  </r>
  <r>
    <x v="1"/>
    <x v="1"/>
    <x v="1"/>
    <n v="3080"/>
    <n v="8"/>
  </r>
  <r>
    <x v="0"/>
    <x v="2"/>
    <x v="1"/>
    <n v="2323"/>
    <n v="1"/>
  </r>
  <r>
    <x v="1"/>
    <x v="2"/>
    <x v="0"/>
    <n v="2127"/>
    <n v="9"/>
  </r>
  <r>
    <x v="1"/>
    <x v="1"/>
    <x v="0"/>
    <n v="2971"/>
    <n v="2"/>
  </r>
  <r>
    <x v="0"/>
    <x v="0"/>
    <x v="1"/>
    <n v="3213"/>
    <n v="8"/>
  </r>
  <r>
    <x v="0"/>
    <x v="2"/>
    <x v="0"/>
    <n v="3042"/>
    <n v="5"/>
  </r>
  <r>
    <x v="0"/>
    <x v="0"/>
    <x v="1"/>
    <n v="1288"/>
    <n v="2"/>
  </r>
  <r>
    <x v="1"/>
    <x v="1"/>
    <x v="0"/>
    <n v="3168"/>
    <n v="8"/>
  </r>
  <r>
    <x v="1"/>
    <x v="1"/>
    <x v="0"/>
    <n v="3396"/>
    <n v="5"/>
  </r>
  <r>
    <x v="1"/>
    <x v="0"/>
    <x v="1"/>
    <n v="3378"/>
    <n v="6"/>
  </r>
  <r>
    <x v="1"/>
    <x v="1"/>
    <x v="0"/>
    <n v="3092"/>
    <n v="10"/>
  </r>
  <r>
    <x v="1"/>
    <x v="0"/>
    <x v="0"/>
    <n v="1421"/>
    <n v="9"/>
  </r>
  <r>
    <x v="1"/>
    <x v="0"/>
    <x v="0"/>
    <n v="3754"/>
    <n v="8"/>
  </r>
  <r>
    <x v="0"/>
    <x v="1"/>
    <x v="1"/>
    <n v="1020"/>
    <n v="2"/>
  </r>
  <r>
    <x v="1"/>
    <x v="2"/>
    <x v="1"/>
    <n v="3897"/>
    <n v="9"/>
  </r>
  <r>
    <x v="0"/>
    <x v="0"/>
    <x v="0"/>
    <n v="1862"/>
    <n v="6"/>
  </r>
  <r>
    <x v="0"/>
    <x v="1"/>
    <x v="0"/>
    <n v="3726"/>
    <n v="7"/>
  </r>
  <r>
    <x v="1"/>
    <x v="1"/>
    <x v="1"/>
    <n v="1699"/>
    <n v="9"/>
  </r>
  <r>
    <x v="1"/>
    <x v="0"/>
    <x v="0"/>
    <n v="291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E940D2-43C3-41F0-9A4C-21FBD1F63834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3:L13" firstHeaderRow="0" firstDataRow="1" firstDataCol="1" rowPageCount="1" colPageCount="1"/>
  <pivotFields count="5">
    <pivotField axis="axisPage" showAll="0">
      <items count="3">
        <item x="1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dataField="1" showAll="0"/>
  </pivotFields>
  <rowFields count="2">
    <field x="1"/>
    <field x="2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1" hier="-1"/>
  </pageFields>
  <dataFields count="4">
    <dataField name="Average of Salário" fld="3" subtotal="average" baseField="1" baseItem="0"/>
    <dataField name="StdDevp of Salário2" fld="3" subtotal="stdDevp" baseField="1" baseItem="0"/>
    <dataField name="Average of Anos de trabalho" fld="4" subtotal="average" baseField="1" baseItem="0"/>
    <dataField name="StdDevp of Anos de trabalho2" fld="4" subtotal="stdDevp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silabo.pt/catalogo/informatica/folhas-de-calculo/livro/excel-para-economia-e-gesta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silabo.pt/catalogo/informatica/folhas-de-calculo/livro/excel-para-economia-e-gesta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labo.pt/catalogo/informatica/folhas-de-calculo/livro/excel-para-economia-e-gesta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ilabo.pt/catalogo/informatica/folhas-de-calculo/livro/excel-para-economia-e-gestao/" TargetMode="External"/><Relationship Id="rId1" Type="http://schemas.openxmlformats.org/officeDocument/2006/relationships/hyperlink" Target="https://silabo.pt/catalogo/informatica/folhas-de-calculo/livro/excel-para-economia-e-gestao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2983-E3D9-4084-859C-203808923BD6}">
  <dimension ref="D2:F13"/>
  <sheetViews>
    <sheetView workbookViewId="0">
      <selection activeCell="F12" sqref="F12"/>
    </sheetView>
  </sheetViews>
  <sheetFormatPr defaultRowHeight="14.4" x14ac:dyDescent="0.3"/>
  <cols>
    <col min="5" max="5" width="20.109375" bestFit="1" customWidth="1"/>
  </cols>
  <sheetData>
    <row r="2" spans="4:6" x14ac:dyDescent="0.3">
      <c r="D2" s="2" t="s">
        <v>3</v>
      </c>
    </row>
    <row r="3" spans="4:6" x14ac:dyDescent="0.3">
      <c r="D3" t="s">
        <v>4</v>
      </c>
      <c r="E3" t="s">
        <v>1</v>
      </c>
      <c r="F3">
        <f>5^2</f>
        <v>25</v>
      </c>
    </row>
    <row r="4" spans="4:6" x14ac:dyDescent="0.3">
      <c r="D4" s="1" t="s">
        <v>5</v>
      </c>
      <c r="E4" t="s">
        <v>6</v>
      </c>
      <c r="F4">
        <f>16/2</f>
        <v>8</v>
      </c>
    </row>
    <row r="5" spans="4:6" x14ac:dyDescent="0.3">
      <c r="D5" t="s">
        <v>7</v>
      </c>
      <c r="E5" t="s">
        <v>8</v>
      </c>
      <c r="F5">
        <f>4*5</f>
        <v>20</v>
      </c>
    </row>
    <row r="6" spans="4:6" x14ac:dyDescent="0.3">
      <c r="D6" t="s">
        <v>9</v>
      </c>
      <c r="E6" t="s">
        <v>13</v>
      </c>
      <c r="F6">
        <f>10+15</f>
        <v>25</v>
      </c>
    </row>
    <row r="7" spans="4:6" x14ac:dyDescent="0.3">
      <c r="D7" t="s">
        <v>10</v>
      </c>
      <c r="E7" t="s">
        <v>14</v>
      </c>
      <c r="F7">
        <f>3-9</f>
        <v>-6</v>
      </c>
    </row>
    <row r="9" spans="4:6" x14ac:dyDescent="0.3">
      <c r="D9" s="2" t="s">
        <v>12</v>
      </c>
    </row>
    <row r="10" spans="4:6" x14ac:dyDescent="0.3">
      <c r="D10" t="s">
        <v>0</v>
      </c>
      <c r="F10">
        <f>3*(4+5)-4^2</f>
        <v>11</v>
      </c>
    </row>
    <row r="11" spans="4:6" x14ac:dyDescent="0.3">
      <c r="D11" t="s">
        <v>1</v>
      </c>
      <c r="F11">
        <f>2*(5-2)/2^2+2^3</f>
        <v>9.5</v>
      </c>
    </row>
    <row r="12" spans="4:6" x14ac:dyDescent="0.3">
      <c r="D12" t="s">
        <v>2</v>
      </c>
    </row>
    <row r="13" spans="4:6" x14ac:dyDescent="0.3">
      <c r="D13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9A69-30CA-4F0F-A428-BD37043CD3D6}">
  <dimension ref="A1:N47"/>
  <sheetViews>
    <sheetView workbookViewId="0">
      <selection activeCell="B6" sqref="B6"/>
    </sheetView>
  </sheetViews>
  <sheetFormatPr defaultRowHeight="14.4" x14ac:dyDescent="0.3"/>
  <cols>
    <col min="1" max="1" width="37" bestFit="1" customWidth="1"/>
  </cols>
  <sheetData>
    <row r="1" spans="1:2" x14ac:dyDescent="0.3">
      <c r="A1" t="s">
        <v>148</v>
      </c>
    </row>
    <row r="2" spans="1:2" x14ac:dyDescent="0.3">
      <c r="A2" t="s">
        <v>149</v>
      </c>
    </row>
    <row r="3" spans="1:2" x14ac:dyDescent="0.3">
      <c r="A3" t="s">
        <v>150</v>
      </c>
      <c r="B3">
        <v>5000</v>
      </c>
    </row>
    <row r="4" spans="1:2" x14ac:dyDescent="0.3">
      <c r="A4" t="s">
        <v>151</v>
      </c>
      <c r="B4" s="18">
        <v>0.02</v>
      </c>
    </row>
    <row r="5" spans="1:2" x14ac:dyDescent="0.3">
      <c r="A5" t="s">
        <v>152</v>
      </c>
      <c r="B5">
        <v>6</v>
      </c>
    </row>
    <row r="6" spans="1:2" x14ac:dyDescent="0.3">
      <c r="A6" t="s">
        <v>153</v>
      </c>
    </row>
    <row r="7" spans="1:2" x14ac:dyDescent="0.3">
      <c r="A7" s="32">
        <v>5.0000000000000001E-3</v>
      </c>
    </row>
    <row r="8" spans="1:2" x14ac:dyDescent="0.3">
      <c r="A8" s="32">
        <v>7.4999999999999997E-3</v>
      </c>
    </row>
    <row r="9" spans="1:2" x14ac:dyDescent="0.3">
      <c r="A9" s="32">
        <v>0.01</v>
      </c>
    </row>
    <row r="10" spans="1:2" x14ac:dyDescent="0.3">
      <c r="A10" s="32">
        <v>1.2500000000000001E-2</v>
      </c>
    </row>
    <row r="11" spans="1:2" x14ac:dyDescent="0.3">
      <c r="A11" s="32">
        <v>1.4999999999999999E-2</v>
      </c>
    </row>
    <row r="12" spans="1:2" x14ac:dyDescent="0.3">
      <c r="A12" s="32">
        <v>1.7500000000000002E-2</v>
      </c>
    </row>
    <row r="13" spans="1:2" x14ac:dyDescent="0.3">
      <c r="A13" s="32">
        <v>0.02</v>
      </c>
    </row>
    <row r="14" spans="1:2" x14ac:dyDescent="0.3">
      <c r="A14" s="32">
        <v>2.2499999999999999E-2</v>
      </c>
    </row>
    <row r="15" spans="1:2" x14ac:dyDescent="0.3">
      <c r="A15" s="32">
        <v>2.5000000000000001E-2</v>
      </c>
    </row>
    <row r="16" spans="1:2" x14ac:dyDescent="0.3">
      <c r="A16" s="32">
        <v>2.75E-2</v>
      </c>
    </row>
    <row r="17" spans="1:14" x14ac:dyDescent="0.3">
      <c r="A17" s="32">
        <v>0.03</v>
      </c>
    </row>
    <row r="18" spans="1:14" x14ac:dyDescent="0.3">
      <c r="A18" s="32">
        <v>3.2500000000000001E-2</v>
      </c>
    </row>
    <row r="19" spans="1:14" x14ac:dyDescent="0.3">
      <c r="A19" s="32">
        <v>3.5000000000000003E-2</v>
      </c>
    </row>
    <row r="20" spans="1:14" x14ac:dyDescent="0.3">
      <c r="A20" s="32">
        <v>3.7499999999999999E-2</v>
      </c>
    </row>
    <row r="21" spans="1:14" x14ac:dyDescent="0.3">
      <c r="A21" s="32">
        <v>0.04</v>
      </c>
      <c r="J21" s="17" t="s">
        <v>75</v>
      </c>
    </row>
    <row r="22" spans="1:14" x14ac:dyDescent="0.3">
      <c r="A22" s="32">
        <v>4.2500000000000003E-2</v>
      </c>
    </row>
    <row r="23" spans="1:14" x14ac:dyDescent="0.3">
      <c r="A23" s="32">
        <v>4.4999999999999998E-2</v>
      </c>
    </row>
    <row r="25" spans="1:14" x14ac:dyDescent="0.3">
      <c r="A25" t="s">
        <v>148</v>
      </c>
    </row>
    <row r="26" spans="1:14" x14ac:dyDescent="0.3">
      <c r="A26" t="s">
        <v>149</v>
      </c>
    </row>
    <row r="27" spans="1:14" x14ac:dyDescent="0.3">
      <c r="A27" t="s">
        <v>154</v>
      </c>
      <c r="B27">
        <v>5000</v>
      </c>
    </row>
    <row r="28" spans="1:14" x14ac:dyDescent="0.3">
      <c r="A28" t="s">
        <v>155</v>
      </c>
      <c r="B28" s="18">
        <v>0.02</v>
      </c>
    </row>
    <row r="29" spans="1:14" x14ac:dyDescent="0.3">
      <c r="A29" t="s">
        <v>156</v>
      </c>
      <c r="B29">
        <v>6</v>
      </c>
    </row>
    <row r="30" spans="1:14" x14ac:dyDescent="0.3">
      <c r="A30" t="s">
        <v>157</v>
      </c>
      <c r="B30">
        <v>50</v>
      </c>
      <c r="C30">
        <v>1</v>
      </c>
      <c r="D30">
        <v>2</v>
      </c>
      <c r="E30">
        <v>3</v>
      </c>
      <c r="F30">
        <v>4</v>
      </c>
      <c r="G30">
        <v>5</v>
      </c>
      <c r="H30">
        <v>6</v>
      </c>
      <c r="I30">
        <v>7</v>
      </c>
      <c r="J30">
        <v>8</v>
      </c>
      <c r="K30">
        <v>9</v>
      </c>
      <c r="L30">
        <v>10</v>
      </c>
      <c r="M30">
        <v>11</v>
      </c>
      <c r="N30">
        <v>12</v>
      </c>
    </row>
    <row r="31" spans="1:14" x14ac:dyDescent="0.3">
      <c r="B31" s="32">
        <v>5.0000000000000001E-3</v>
      </c>
    </row>
    <row r="32" spans="1:14" x14ac:dyDescent="0.3">
      <c r="B32" s="32">
        <v>7.4999999999999997E-3</v>
      </c>
    </row>
    <row r="33" spans="2:2" x14ac:dyDescent="0.3">
      <c r="B33" s="32">
        <v>0.01</v>
      </c>
    </row>
    <row r="34" spans="2:2" x14ac:dyDescent="0.3">
      <c r="B34" s="32">
        <v>1.2500000000000001E-2</v>
      </c>
    </row>
    <row r="35" spans="2:2" x14ac:dyDescent="0.3">
      <c r="B35" s="32">
        <v>1.4999999999999999E-2</v>
      </c>
    </row>
    <row r="36" spans="2:2" x14ac:dyDescent="0.3">
      <c r="B36" s="32">
        <v>1.7500000000000002E-2</v>
      </c>
    </row>
    <row r="37" spans="2:2" x14ac:dyDescent="0.3">
      <c r="B37" s="32">
        <v>0.02</v>
      </c>
    </row>
    <row r="38" spans="2:2" x14ac:dyDescent="0.3">
      <c r="B38" s="32">
        <v>2.2499999999999999E-2</v>
      </c>
    </row>
    <row r="39" spans="2:2" x14ac:dyDescent="0.3">
      <c r="B39" s="32">
        <v>2.5000000000000001E-2</v>
      </c>
    </row>
    <row r="40" spans="2:2" x14ac:dyDescent="0.3">
      <c r="B40" s="32">
        <v>2.75E-2</v>
      </c>
    </row>
    <row r="41" spans="2:2" x14ac:dyDescent="0.3">
      <c r="B41" s="32">
        <v>0.03</v>
      </c>
    </row>
    <row r="42" spans="2:2" x14ac:dyDescent="0.3">
      <c r="B42" s="32">
        <v>3.2500000000000001E-2</v>
      </c>
    </row>
    <row r="43" spans="2:2" x14ac:dyDescent="0.3">
      <c r="B43" s="32">
        <v>3.5000000000000003E-2</v>
      </c>
    </row>
    <row r="44" spans="2:2" x14ac:dyDescent="0.3">
      <c r="B44" s="32">
        <v>3.7499999999999999E-2</v>
      </c>
    </row>
    <row r="45" spans="2:2" x14ac:dyDescent="0.3">
      <c r="B45" s="32">
        <v>0.04</v>
      </c>
    </row>
    <row r="46" spans="2:2" x14ac:dyDescent="0.3">
      <c r="B46" s="32">
        <v>4.2500000000000003E-2</v>
      </c>
    </row>
    <row r="47" spans="2:2" x14ac:dyDescent="0.3">
      <c r="B47" s="32">
        <v>4.4999999999999998E-2</v>
      </c>
    </row>
  </sheetData>
  <hyperlinks>
    <hyperlink ref="J21" r:id="rId1" xr:uid="{60A4C811-16C6-40DF-80DA-8F213C458A3A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E7F3A-E8D8-497A-B7CB-47FAF250D250}">
  <dimension ref="A1:F24"/>
  <sheetViews>
    <sheetView workbookViewId="0">
      <selection activeCell="H14" sqref="H14"/>
    </sheetView>
  </sheetViews>
  <sheetFormatPr defaultRowHeight="14.4" x14ac:dyDescent="0.3"/>
  <cols>
    <col min="1" max="1" width="29.33203125" bestFit="1" customWidth="1"/>
  </cols>
  <sheetData>
    <row r="1" spans="1:6" x14ac:dyDescent="0.3">
      <c r="A1" t="s">
        <v>158</v>
      </c>
    </row>
    <row r="2" spans="1:6" x14ac:dyDescent="0.3">
      <c r="A2" t="s">
        <v>159</v>
      </c>
      <c r="B2">
        <v>36</v>
      </c>
      <c r="F2" t="s">
        <v>176</v>
      </c>
    </row>
    <row r="3" spans="1:6" x14ac:dyDescent="0.3">
      <c r="A3" t="s">
        <v>161</v>
      </c>
      <c r="B3" t="s">
        <v>160</v>
      </c>
      <c r="C3">
        <v>2</v>
      </c>
      <c r="D3">
        <f>LOG(36,6)</f>
        <v>2</v>
      </c>
      <c r="F3" t="s">
        <v>177</v>
      </c>
    </row>
    <row r="4" spans="1:6" x14ac:dyDescent="0.3">
      <c r="B4">
        <v>-27</v>
      </c>
      <c r="C4" t="e">
        <f>LOG(B4,-3)</f>
        <v>#NUM!</v>
      </c>
      <c r="F4" t="s">
        <v>178</v>
      </c>
    </row>
    <row r="6" spans="1:6" x14ac:dyDescent="0.3">
      <c r="A6">
        <v>10</v>
      </c>
      <c r="B6">
        <f>LOG10(A6)</f>
        <v>1</v>
      </c>
    </row>
    <row r="7" spans="1:6" x14ac:dyDescent="0.3">
      <c r="A7">
        <v>100</v>
      </c>
      <c r="B7">
        <f>LOG10(A7)</f>
        <v>2</v>
      </c>
    </row>
    <row r="8" spans="1:6" x14ac:dyDescent="0.3">
      <c r="A8">
        <v>1000</v>
      </c>
      <c r="B8">
        <f t="shared" ref="B8:B9" si="0">LOG10(A8)</f>
        <v>3</v>
      </c>
    </row>
    <row r="9" spans="1:6" x14ac:dyDescent="0.3">
      <c r="A9">
        <v>10000</v>
      </c>
      <c r="B9">
        <f t="shared" si="0"/>
        <v>4</v>
      </c>
    </row>
    <row r="11" spans="1:6" x14ac:dyDescent="0.3">
      <c r="A11" t="s">
        <v>162</v>
      </c>
    </row>
    <row r="12" spans="1:6" x14ac:dyDescent="0.3">
      <c r="A12" s="45">
        <v>10</v>
      </c>
    </row>
    <row r="13" spans="1:6" x14ac:dyDescent="0.3">
      <c r="A13" s="45">
        <v>10.199999999999999</v>
      </c>
    </row>
    <row r="14" spans="1:6" x14ac:dyDescent="0.3">
      <c r="A14" t="s">
        <v>163</v>
      </c>
      <c r="B14">
        <f>(A13-A12)/A12</f>
        <v>1.9999999999999928E-2</v>
      </c>
    </row>
    <row r="15" spans="1:6" x14ac:dyDescent="0.3">
      <c r="A15" t="s">
        <v>164</v>
      </c>
      <c r="B15">
        <f>LN(A13)-LN(A12)</f>
        <v>1.980262729617932E-2</v>
      </c>
      <c r="C15" s="37" t="s">
        <v>165</v>
      </c>
    </row>
    <row r="17" spans="1:3" x14ac:dyDescent="0.3">
      <c r="A17" t="s">
        <v>170</v>
      </c>
    </row>
    <row r="18" spans="1:3" x14ac:dyDescent="0.3">
      <c r="A18" t="s">
        <v>166</v>
      </c>
    </row>
    <row r="19" spans="1:3" x14ac:dyDescent="0.3">
      <c r="A19" t="s">
        <v>167</v>
      </c>
    </row>
    <row r="20" spans="1:3" x14ac:dyDescent="0.3">
      <c r="A20" t="s">
        <v>171</v>
      </c>
    </row>
    <row r="21" spans="1:3" x14ac:dyDescent="0.3">
      <c r="A21" t="s">
        <v>172</v>
      </c>
    </row>
    <row r="22" spans="1:3" x14ac:dyDescent="0.3">
      <c r="A22" t="s">
        <v>168</v>
      </c>
    </row>
    <row r="23" spans="1:3" x14ac:dyDescent="0.3">
      <c r="A23" t="s">
        <v>173</v>
      </c>
      <c r="B23" t="s">
        <v>169</v>
      </c>
    </row>
    <row r="24" spans="1:3" x14ac:dyDescent="0.3">
      <c r="A24" t="s">
        <v>174</v>
      </c>
      <c r="B24">
        <f>LN(1.4)/LN(1.03)</f>
        <v>11.383148541394769</v>
      </c>
      <c r="C24" t="s">
        <v>175</v>
      </c>
    </row>
  </sheetData>
  <pageMargins left="0.7" right="0.7" top="0.75" bottom="0.75" header="0.3" footer="0.3"/>
  <ignoredErrors>
    <ignoredError sqref="C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38576-E235-45A1-94F8-796491331D84}">
  <dimension ref="E2:G20"/>
  <sheetViews>
    <sheetView workbookViewId="0">
      <selection activeCell="G7" sqref="G7"/>
    </sheetView>
  </sheetViews>
  <sheetFormatPr defaultRowHeight="14.4" x14ac:dyDescent="0.3"/>
  <sheetData>
    <row r="2" spans="5:5" x14ac:dyDescent="0.3">
      <c r="E2" t="s">
        <v>15</v>
      </c>
    </row>
    <row r="3" spans="5:5" x14ac:dyDescent="0.3">
      <c r="E3" t="s">
        <v>15</v>
      </c>
    </row>
    <row r="4" spans="5:5" x14ac:dyDescent="0.3">
      <c r="E4" t="s">
        <v>15</v>
      </c>
    </row>
    <row r="6" spans="5:5" x14ac:dyDescent="0.3">
      <c r="E6" t="s">
        <v>15</v>
      </c>
    </row>
    <row r="7" spans="5:5" x14ac:dyDescent="0.3">
      <c r="E7" t="s">
        <v>15</v>
      </c>
    </row>
    <row r="8" spans="5:5" x14ac:dyDescent="0.3">
      <c r="E8" t="s">
        <v>15</v>
      </c>
    </row>
    <row r="10" spans="5:5" x14ac:dyDescent="0.3">
      <c r="E10" t="s">
        <v>15</v>
      </c>
    </row>
    <row r="11" spans="5:5" x14ac:dyDescent="0.3">
      <c r="E11" t="s">
        <v>15</v>
      </c>
    </row>
    <row r="12" spans="5:5" x14ac:dyDescent="0.3">
      <c r="E12" t="s">
        <v>15</v>
      </c>
    </row>
    <row r="14" spans="5:5" x14ac:dyDescent="0.3">
      <c r="E14" t="s">
        <v>15</v>
      </c>
    </row>
    <row r="15" spans="5:5" x14ac:dyDescent="0.3">
      <c r="E15" t="s">
        <v>15</v>
      </c>
    </row>
    <row r="16" spans="5:5" x14ac:dyDescent="0.3">
      <c r="E16" t="s">
        <v>15</v>
      </c>
    </row>
    <row r="18" spans="5:7" x14ac:dyDescent="0.3">
      <c r="E18" t="s">
        <v>15</v>
      </c>
      <c r="G18" t="s">
        <v>16</v>
      </c>
    </row>
    <row r="19" spans="5:7" x14ac:dyDescent="0.3">
      <c r="E19" t="s">
        <v>15</v>
      </c>
      <c r="G19" t="s">
        <v>16</v>
      </c>
    </row>
    <row r="20" spans="5:7" x14ac:dyDescent="0.3">
      <c r="E20" t="s">
        <v>15</v>
      </c>
      <c r="G20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A24A-A21C-4093-AF61-B2C023E5C23D}">
  <dimension ref="B1:E7"/>
  <sheetViews>
    <sheetView workbookViewId="0">
      <selection activeCell="E4" sqref="E4"/>
    </sheetView>
  </sheetViews>
  <sheetFormatPr defaultRowHeight="14.4" x14ac:dyDescent="0.3"/>
  <sheetData>
    <row r="1" spans="2:5" x14ac:dyDescent="0.3">
      <c r="B1" t="s">
        <v>17</v>
      </c>
      <c r="C1" t="s">
        <v>23</v>
      </c>
      <c r="D1" s="4" t="s">
        <v>25</v>
      </c>
      <c r="E1" s="5" t="s">
        <v>26</v>
      </c>
    </row>
    <row r="2" spans="2:5" x14ac:dyDescent="0.3">
      <c r="B2" t="s">
        <v>18</v>
      </c>
      <c r="C2">
        <v>1000</v>
      </c>
      <c r="D2" s="3">
        <f>C2/$C$7</f>
        <v>0.1</v>
      </c>
      <c r="E2" s="3">
        <f>C2/C$7</f>
        <v>0.1</v>
      </c>
    </row>
    <row r="3" spans="2:5" x14ac:dyDescent="0.3">
      <c r="B3" t="s">
        <v>19</v>
      </c>
      <c r="C3">
        <v>2000</v>
      </c>
      <c r="D3" s="3">
        <f t="shared" ref="D3:D7" si="0">C3/$C$7</f>
        <v>0.2</v>
      </c>
      <c r="E3" s="3">
        <f t="shared" ref="E3:E7" si="1">C3/C$7</f>
        <v>0.2</v>
      </c>
    </row>
    <row r="4" spans="2:5" x14ac:dyDescent="0.3">
      <c r="B4" t="s">
        <v>20</v>
      </c>
      <c r="C4">
        <v>3000</v>
      </c>
      <c r="D4" s="3">
        <f t="shared" si="0"/>
        <v>0.3</v>
      </c>
      <c r="E4" s="3">
        <f t="shared" si="1"/>
        <v>0.3</v>
      </c>
    </row>
    <row r="5" spans="2:5" x14ac:dyDescent="0.3">
      <c r="B5" t="s">
        <v>21</v>
      </c>
      <c r="C5">
        <v>1500</v>
      </c>
      <c r="D5" s="3">
        <f t="shared" si="0"/>
        <v>0.15</v>
      </c>
      <c r="E5" s="3">
        <f t="shared" si="1"/>
        <v>0.15</v>
      </c>
    </row>
    <row r="6" spans="2:5" x14ac:dyDescent="0.3">
      <c r="B6" t="s">
        <v>22</v>
      </c>
      <c r="C6">
        <v>2500</v>
      </c>
      <c r="D6" s="3">
        <f t="shared" si="0"/>
        <v>0.25</v>
      </c>
      <c r="E6" s="3">
        <f t="shared" si="1"/>
        <v>0.25</v>
      </c>
    </row>
    <row r="7" spans="2:5" x14ac:dyDescent="0.3">
      <c r="B7" t="s">
        <v>24</v>
      </c>
      <c r="C7">
        <f>SUM(C2:C6)</f>
        <v>10000</v>
      </c>
      <c r="D7" s="3">
        <f t="shared" si="0"/>
        <v>1</v>
      </c>
      <c r="E7" s="3">
        <f t="shared" si="1"/>
        <v>1</v>
      </c>
    </row>
  </sheetData>
  <pageMargins left="0.7" right="0.7" top="0.75" bottom="0.75" header="0.3" footer="0.3"/>
  <ignoredErrors>
    <ignoredError sqref="D1:E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CAA5-24B9-4B40-83CA-76A162E2EB15}">
  <dimension ref="A1:L21"/>
  <sheetViews>
    <sheetView workbookViewId="0">
      <selection activeCell="I17" sqref="I17"/>
    </sheetView>
  </sheetViews>
  <sheetFormatPr defaultRowHeight="14.4" x14ac:dyDescent="0.3"/>
  <cols>
    <col min="8" max="8" width="12.5546875" bestFit="1" customWidth="1"/>
    <col min="9" max="9" width="16.33203125" bestFit="1" customWidth="1"/>
    <col min="10" max="10" width="17.6640625" bestFit="1" customWidth="1"/>
    <col min="11" max="11" width="25.21875" bestFit="1" customWidth="1"/>
    <col min="12" max="12" width="26.5546875" bestFit="1" customWidth="1"/>
  </cols>
  <sheetData>
    <row r="1" spans="1:12" x14ac:dyDescent="0.3">
      <c r="A1" t="s">
        <v>27</v>
      </c>
      <c r="B1" t="s">
        <v>28</v>
      </c>
      <c r="C1" t="s">
        <v>29</v>
      </c>
      <c r="D1" t="s">
        <v>30</v>
      </c>
      <c r="E1" t="s">
        <v>31</v>
      </c>
      <c r="H1" s="9" t="s">
        <v>27</v>
      </c>
      <c r="I1" t="s">
        <v>32</v>
      </c>
    </row>
    <row r="2" spans="1:12" x14ac:dyDescent="0.3">
      <c r="A2" t="s">
        <v>32</v>
      </c>
      <c r="B2" t="s">
        <v>33</v>
      </c>
      <c r="C2" t="s">
        <v>34</v>
      </c>
      <c r="D2">
        <v>3588</v>
      </c>
      <c r="E2">
        <v>6</v>
      </c>
    </row>
    <row r="3" spans="1:12" x14ac:dyDescent="0.3">
      <c r="A3" t="s">
        <v>35</v>
      </c>
      <c r="B3" t="s">
        <v>36</v>
      </c>
      <c r="C3" t="s">
        <v>37</v>
      </c>
      <c r="D3">
        <v>3080</v>
      </c>
      <c r="E3">
        <v>8</v>
      </c>
      <c r="H3" s="9" t="s">
        <v>38</v>
      </c>
      <c r="I3" s="9" t="s">
        <v>39</v>
      </c>
      <c r="J3" s="9" t="s">
        <v>40</v>
      </c>
      <c r="K3" s="9" t="s">
        <v>41</v>
      </c>
      <c r="L3" s="9" t="s">
        <v>42</v>
      </c>
    </row>
    <row r="4" spans="1:12" x14ac:dyDescent="0.3">
      <c r="A4" t="s">
        <v>32</v>
      </c>
      <c r="B4" t="s">
        <v>43</v>
      </c>
      <c r="C4" t="s">
        <v>37</v>
      </c>
      <c r="D4">
        <v>2323</v>
      </c>
      <c r="E4">
        <v>1</v>
      </c>
      <c r="H4" s="6" t="s">
        <v>36</v>
      </c>
      <c r="I4" s="7">
        <v>2373</v>
      </c>
      <c r="J4" s="7">
        <v>1353</v>
      </c>
      <c r="K4" s="7">
        <v>4.5</v>
      </c>
      <c r="L4" s="7">
        <v>2.5</v>
      </c>
    </row>
    <row r="5" spans="1:12" x14ac:dyDescent="0.3">
      <c r="A5" t="s">
        <v>35</v>
      </c>
      <c r="B5" t="s">
        <v>43</v>
      </c>
      <c r="C5" t="s">
        <v>34</v>
      </c>
      <c r="D5">
        <v>2127</v>
      </c>
      <c r="E5">
        <v>9</v>
      </c>
      <c r="H5" s="8" t="s">
        <v>37</v>
      </c>
      <c r="I5" s="7">
        <v>1020</v>
      </c>
      <c r="J5" s="7">
        <v>0</v>
      </c>
      <c r="K5" s="7">
        <v>2</v>
      </c>
      <c r="L5" s="7">
        <v>0</v>
      </c>
    </row>
    <row r="6" spans="1:12" x14ac:dyDescent="0.3">
      <c r="A6" t="s">
        <v>35</v>
      </c>
      <c r="B6" t="s">
        <v>36</v>
      </c>
      <c r="C6" t="s">
        <v>34</v>
      </c>
      <c r="D6">
        <v>2971</v>
      </c>
      <c r="E6">
        <v>2</v>
      </c>
      <c r="H6" s="8" t="s">
        <v>34</v>
      </c>
      <c r="I6" s="7">
        <v>3726</v>
      </c>
      <c r="J6" s="7">
        <v>0</v>
      </c>
      <c r="K6" s="7">
        <v>7</v>
      </c>
      <c r="L6" s="7">
        <v>0</v>
      </c>
    </row>
    <row r="7" spans="1:12" x14ac:dyDescent="0.3">
      <c r="A7" t="s">
        <v>32</v>
      </c>
      <c r="B7" t="s">
        <v>33</v>
      </c>
      <c r="C7" t="s">
        <v>37</v>
      </c>
      <c r="D7">
        <v>3213</v>
      </c>
      <c r="E7">
        <v>8</v>
      </c>
      <c r="H7" s="6" t="s">
        <v>33</v>
      </c>
      <c r="I7" s="7">
        <v>2487.75</v>
      </c>
      <c r="J7" s="7">
        <v>944.39143764648782</v>
      </c>
      <c r="K7" s="7">
        <v>5.5</v>
      </c>
      <c r="L7" s="7">
        <v>2.179449471770337</v>
      </c>
    </row>
    <row r="8" spans="1:12" x14ac:dyDescent="0.3">
      <c r="A8" t="s">
        <v>32</v>
      </c>
      <c r="B8" t="s">
        <v>43</v>
      </c>
      <c r="C8" t="s">
        <v>34</v>
      </c>
      <c r="D8">
        <v>3042</v>
      </c>
      <c r="E8">
        <v>5</v>
      </c>
      <c r="H8" s="8" t="s">
        <v>37</v>
      </c>
      <c r="I8" s="7">
        <v>2250.5</v>
      </c>
      <c r="J8" s="7">
        <v>962.5</v>
      </c>
      <c r="K8" s="7">
        <v>5</v>
      </c>
      <c r="L8" s="7">
        <v>3</v>
      </c>
    </row>
    <row r="9" spans="1:12" x14ac:dyDescent="0.3">
      <c r="A9" t="s">
        <v>32</v>
      </c>
      <c r="B9" t="s">
        <v>33</v>
      </c>
      <c r="C9" t="s">
        <v>37</v>
      </c>
      <c r="D9">
        <v>1288</v>
      </c>
      <c r="E9">
        <v>2</v>
      </c>
      <c r="H9" s="8" t="s">
        <v>34</v>
      </c>
      <c r="I9" s="7">
        <v>2725</v>
      </c>
      <c r="J9" s="7">
        <v>863</v>
      </c>
      <c r="K9" s="7">
        <v>6</v>
      </c>
      <c r="L9" s="7">
        <v>0</v>
      </c>
    </row>
    <row r="10" spans="1:12" x14ac:dyDescent="0.3">
      <c r="A10" t="s">
        <v>35</v>
      </c>
      <c r="B10" t="s">
        <v>36</v>
      </c>
      <c r="C10" t="s">
        <v>34</v>
      </c>
      <c r="D10">
        <v>3168</v>
      </c>
      <c r="E10">
        <v>8</v>
      </c>
      <c r="H10" s="6" t="s">
        <v>43</v>
      </c>
      <c r="I10" s="7">
        <v>2682.5</v>
      </c>
      <c r="J10" s="7">
        <v>359.5</v>
      </c>
      <c r="K10" s="7">
        <v>3</v>
      </c>
      <c r="L10" s="7">
        <v>2</v>
      </c>
    </row>
    <row r="11" spans="1:12" x14ac:dyDescent="0.3">
      <c r="A11" t="s">
        <v>35</v>
      </c>
      <c r="B11" t="s">
        <v>36</v>
      </c>
      <c r="C11" t="s">
        <v>34</v>
      </c>
      <c r="D11">
        <v>3396</v>
      </c>
      <c r="E11">
        <v>5</v>
      </c>
      <c r="H11" s="8" t="s">
        <v>37</v>
      </c>
      <c r="I11" s="7">
        <v>2323</v>
      </c>
      <c r="J11" s="7">
        <v>0</v>
      </c>
      <c r="K11" s="7">
        <v>1</v>
      </c>
      <c r="L11" s="7">
        <v>0</v>
      </c>
    </row>
    <row r="12" spans="1:12" x14ac:dyDescent="0.3">
      <c r="A12" t="s">
        <v>35</v>
      </c>
      <c r="B12" t="s">
        <v>33</v>
      </c>
      <c r="C12" t="s">
        <v>37</v>
      </c>
      <c r="D12">
        <v>3378</v>
      </c>
      <c r="E12">
        <v>6</v>
      </c>
      <c r="H12" s="8" t="s">
        <v>34</v>
      </c>
      <c r="I12" s="7">
        <v>3042</v>
      </c>
      <c r="J12" s="7">
        <v>0</v>
      </c>
      <c r="K12" s="7">
        <v>5</v>
      </c>
      <c r="L12" s="7">
        <v>0</v>
      </c>
    </row>
    <row r="13" spans="1:12" x14ac:dyDescent="0.3">
      <c r="A13" t="s">
        <v>35</v>
      </c>
      <c r="B13" t="s">
        <v>36</v>
      </c>
      <c r="C13" t="s">
        <v>34</v>
      </c>
      <c r="D13">
        <v>3092</v>
      </c>
      <c r="E13">
        <v>10</v>
      </c>
      <c r="H13" s="6" t="s">
        <v>44</v>
      </c>
      <c r="I13" s="7">
        <v>2507.75</v>
      </c>
      <c r="J13" s="7">
        <v>973.79345217556272</v>
      </c>
      <c r="K13" s="7">
        <v>4.625</v>
      </c>
      <c r="L13" s="7">
        <v>2.4462982238476156</v>
      </c>
    </row>
    <row r="14" spans="1:12" x14ac:dyDescent="0.3">
      <c r="A14" t="s">
        <v>35</v>
      </c>
      <c r="B14" t="s">
        <v>33</v>
      </c>
      <c r="C14" t="s">
        <v>34</v>
      </c>
      <c r="D14">
        <v>1421</v>
      </c>
      <c r="E14">
        <v>9</v>
      </c>
    </row>
    <row r="15" spans="1:12" x14ac:dyDescent="0.3">
      <c r="A15" t="s">
        <v>35</v>
      </c>
      <c r="B15" t="s">
        <v>33</v>
      </c>
      <c r="C15" t="s">
        <v>34</v>
      </c>
      <c r="D15">
        <v>3754</v>
      </c>
      <c r="E15">
        <v>8</v>
      </c>
      <c r="H15">
        <f>AVERAGE(D2:D21)</f>
        <v>2747.75</v>
      </c>
    </row>
    <row r="16" spans="1:12" x14ac:dyDescent="0.3">
      <c r="A16" t="s">
        <v>32</v>
      </c>
      <c r="B16" t="s">
        <v>36</v>
      </c>
      <c r="C16" t="s">
        <v>37</v>
      </c>
      <c r="D16">
        <v>1020</v>
      </c>
      <c r="E16">
        <v>2</v>
      </c>
      <c r="H16">
        <f>STDEVP(D2:D21)</f>
        <v>863.85455228296394</v>
      </c>
    </row>
    <row r="17" spans="1:5" x14ac:dyDescent="0.3">
      <c r="A17" t="s">
        <v>35</v>
      </c>
      <c r="B17" t="s">
        <v>43</v>
      </c>
      <c r="C17" t="s">
        <v>37</v>
      </c>
      <c r="D17">
        <v>3897</v>
      </c>
      <c r="E17">
        <v>9</v>
      </c>
    </row>
    <row r="18" spans="1:5" x14ac:dyDescent="0.3">
      <c r="A18" t="s">
        <v>32</v>
      </c>
      <c r="B18" t="s">
        <v>33</v>
      </c>
      <c r="C18" t="s">
        <v>34</v>
      </c>
      <c r="D18">
        <v>1862</v>
      </c>
      <c r="E18">
        <v>6</v>
      </c>
    </row>
    <row r="19" spans="1:5" x14ac:dyDescent="0.3">
      <c r="A19" t="s">
        <v>32</v>
      </c>
      <c r="B19" t="s">
        <v>36</v>
      </c>
      <c r="C19" t="s">
        <v>34</v>
      </c>
      <c r="D19">
        <v>3726</v>
      </c>
      <c r="E19">
        <v>7</v>
      </c>
    </row>
    <row r="20" spans="1:5" x14ac:dyDescent="0.3">
      <c r="A20" t="s">
        <v>35</v>
      </c>
      <c r="B20" t="s">
        <v>36</v>
      </c>
      <c r="C20" t="s">
        <v>37</v>
      </c>
      <c r="D20">
        <v>1699</v>
      </c>
      <c r="E20">
        <v>9</v>
      </c>
    </row>
    <row r="21" spans="1:5" x14ac:dyDescent="0.3">
      <c r="A21" t="s">
        <v>35</v>
      </c>
      <c r="B21" t="s">
        <v>33</v>
      </c>
      <c r="C21" t="s">
        <v>34</v>
      </c>
      <c r="D21">
        <v>2910</v>
      </c>
      <c r="E21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9967-95B3-40B7-A7F6-603DD4ECCBE2}">
  <dimension ref="A1:N28"/>
  <sheetViews>
    <sheetView workbookViewId="0">
      <selection activeCell="F28" sqref="F28"/>
    </sheetView>
  </sheetViews>
  <sheetFormatPr defaultRowHeight="14.4" x14ac:dyDescent="0.3"/>
  <cols>
    <col min="3" max="3" width="22" bestFit="1" customWidth="1"/>
    <col min="4" max="4" width="10.5546875" bestFit="1" customWidth="1"/>
    <col min="5" max="5" width="30.6640625" bestFit="1" customWidth="1"/>
    <col min="13" max="13" width="26.44140625" bestFit="1" customWidth="1"/>
  </cols>
  <sheetData>
    <row r="1" spans="1:14" x14ac:dyDescent="0.3">
      <c r="A1" t="s">
        <v>30</v>
      </c>
    </row>
    <row r="2" spans="1:14" ht="15" thickBot="1" x14ac:dyDescent="0.35">
      <c r="A2">
        <v>2379</v>
      </c>
      <c r="B2">
        <v>890</v>
      </c>
      <c r="C2" t="s">
        <v>45</v>
      </c>
      <c r="D2" s="10">
        <f>AVERAGE(A2:A11)</f>
        <v>2955.6</v>
      </c>
      <c r="E2" s="12" t="s">
        <v>59</v>
      </c>
      <c r="M2" t="s">
        <v>58</v>
      </c>
    </row>
    <row r="3" spans="1:14" x14ac:dyDescent="0.3">
      <c r="A3">
        <v>3130</v>
      </c>
      <c r="B3">
        <v>1117</v>
      </c>
      <c r="C3" t="s">
        <v>46</v>
      </c>
      <c r="D3" s="10">
        <f>GEOMEAN(A2:A11)</f>
        <v>2551.6803313415357</v>
      </c>
      <c r="E3" s="12" t="s">
        <v>60</v>
      </c>
      <c r="M3" s="16" t="s">
        <v>30</v>
      </c>
      <c r="N3" s="16"/>
    </row>
    <row r="4" spans="1:14" x14ac:dyDescent="0.3">
      <c r="A4">
        <v>2136</v>
      </c>
      <c r="B4">
        <v>1885</v>
      </c>
      <c r="C4" t="s">
        <v>47</v>
      </c>
      <c r="D4" s="10">
        <f>HARMEAN(A2:A11)</f>
        <v>2142.1981422260255</v>
      </c>
      <c r="E4" s="12" t="s">
        <v>61</v>
      </c>
      <c r="M4" s="14"/>
      <c r="N4" s="14"/>
    </row>
    <row r="5" spans="1:14" x14ac:dyDescent="0.3">
      <c r="A5">
        <v>4837</v>
      </c>
      <c r="B5">
        <v>2136</v>
      </c>
      <c r="C5" t="s">
        <v>48</v>
      </c>
      <c r="D5" s="10">
        <f>TRIMMEAN(A2:A11,20%)</f>
        <v>2958.5</v>
      </c>
      <c r="E5" s="12" t="s">
        <v>82</v>
      </c>
      <c r="M5" s="14" t="s">
        <v>84</v>
      </c>
      <c r="N5" s="14">
        <v>2955.6</v>
      </c>
    </row>
    <row r="6" spans="1:14" x14ac:dyDescent="0.3">
      <c r="A6">
        <v>4998</v>
      </c>
      <c r="B6">
        <v>2379</v>
      </c>
      <c r="D6" s="10">
        <f>AVERAGE(B3:B10)</f>
        <v>2958.5</v>
      </c>
      <c r="M6" s="14" t="s">
        <v>85</v>
      </c>
      <c r="N6" s="14">
        <v>484.53916709017909</v>
      </c>
    </row>
    <row r="7" spans="1:14" x14ac:dyDescent="0.3">
      <c r="A7">
        <v>1117</v>
      </c>
      <c r="B7">
        <v>3130</v>
      </c>
      <c r="C7" t="s">
        <v>49</v>
      </c>
      <c r="D7" s="10">
        <f>MEDIAN(A2:A11)</f>
        <v>2754.5</v>
      </c>
      <c r="E7" s="12" t="s">
        <v>62</v>
      </c>
      <c r="M7" s="14" t="s">
        <v>86</v>
      </c>
      <c r="N7" s="14">
        <v>2754.5</v>
      </c>
    </row>
    <row r="8" spans="1:14" x14ac:dyDescent="0.3">
      <c r="A8">
        <v>1885</v>
      </c>
      <c r="B8">
        <v>3382</v>
      </c>
      <c r="C8" t="s">
        <v>50</v>
      </c>
      <c r="D8" s="10" t="e">
        <f>_xlfn.MODE.SNGL(A2:A11)</f>
        <v>#N/A</v>
      </c>
      <c r="E8" s="12" t="s">
        <v>63</v>
      </c>
      <c r="M8" s="14" t="s">
        <v>87</v>
      </c>
      <c r="N8" s="14" t="e">
        <v>#N/A</v>
      </c>
    </row>
    <row r="9" spans="1:14" x14ac:dyDescent="0.3">
      <c r="A9">
        <v>890</v>
      </c>
      <c r="B9">
        <v>4802</v>
      </c>
      <c r="C9" t="s">
        <v>51</v>
      </c>
      <c r="D9" s="10"/>
      <c r="E9" s="10"/>
      <c r="M9" s="14" t="s">
        <v>88</v>
      </c>
      <c r="N9" s="14">
        <v>1532.247383565867</v>
      </c>
    </row>
    <row r="10" spans="1:14" x14ac:dyDescent="0.3">
      <c r="A10">
        <v>4802</v>
      </c>
      <c r="B10">
        <v>4837</v>
      </c>
      <c r="C10">
        <v>1</v>
      </c>
      <c r="D10" s="10">
        <f>_xlfn.QUARTILE.INC(A2:A11,1)</f>
        <v>1947.75</v>
      </c>
      <c r="E10" s="12" t="s">
        <v>64</v>
      </c>
      <c r="M10" s="14" t="s">
        <v>89</v>
      </c>
      <c r="N10" s="14">
        <v>2347782.0444444451</v>
      </c>
    </row>
    <row r="11" spans="1:14" x14ac:dyDescent="0.3">
      <c r="A11">
        <v>3382</v>
      </c>
      <c r="B11">
        <v>4998</v>
      </c>
      <c r="C11">
        <v>2</v>
      </c>
      <c r="D11" s="10">
        <f>_xlfn.QUARTILE.INC(A2:A11,2)</f>
        <v>2754.5</v>
      </c>
      <c r="E11" s="12" t="s">
        <v>65</v>
      </c>
      <c r="M11" s="14" t="s">
        <v>90</v>
      </c>
      <c r="N11" s="14">
        <v>-1.4450837242953205</v>
      </c>
    </row>
    <row r="12" spans="1:14" x14ac:dyDescent="0.3">
      <c r="C12">
        <v>3</v>
      </c>
      <c r="D12" s="10">
        <f>_xlfn.QUARTILE.INC(A2:A11,3)</f>
        <v>4447</v>
      </c>
      <c r="E12" s="12" t="s">
        <v>66</v>
      </c>
      <c r="M12" s="14" t="s">
        <v>91</v>
      </c>
      <c r="N12" s="14">
        <v>0.17600721004286513</v>
      </c>
    </row>
    <row r="13" spans="1:14" x14ac:dyDescent="0.3">
      <c r="C13" t="s">
        <v>52</v>
      </c>
      <c r="D13" s="10"/>
      <c r="E13" s="10"/>
      <c r="M13" s="14" t="s">
        <v>92</v>
      </c>
      <c r="N13" s="14">
        <v>4108</v>
      </c>
    </row>
    <row r="14" spans="1:14" x14ac:dyDescent="0.3">
      <c r="C14">
        <v>0.05</v>
      </c>
      <c r="D14" s="10">
        <f>_xlfn.PERCENTILE.INC(A2:A11,0.05)</f>
        <v>992.15</v>
      </c>
      <c r="E14" s="12" t="s">
        <v>67</v>
      </c>
      <c r="M14" s="14" t="s">
        <v>93</v>
      </c>
      <c r="N14" s="14">
        <v>890</v>
      </c>
    </row>
    <row r="15" spans="1:14" x14ac:dyDescent="0.3">
      <c r="C15" s="10">
        <v>0.1</v>
      </c>
      <c r="D15" s="10">
        <f>_xlfn.PERCENTILE.INC(A2:A11,10%)</f>
        <v>1094.3</v>
      </c>
      <c r="E15" s="12" t="s">
        <v>68</v>
      </c>
      <c r="M15" s="14" t="s">
        <v>94</v>
      </c>
      <c r="N15" s="14">
        <v>4998</v>
      </c>
    </row>
    <row r="16" spans="1:14" x14ac:dyDescent="0.3">
      <c r="C16" s="10">
        <v>0.9</v>
      </c>
      <c r="D16" s="10">
        <f>_xlfn.PERCENTILE.INC(A2:A11,0.9)</f>
        <v>4853.1000000000004</v>
      </c>
      <c r="E16" s="12" t="s">
        <v>69</v>
      </c>
      <c r="M16" s="14" t="s">
        <v>95</v>
      </c>
      <c r="N16" s="14">
        <v>29556</v>
      </c>
    </row>
    <row r="17" spans="3:14" x14ac:dyDescent="0.3">
      <c r="C17" t="s">
        <v>53</v>
      </c>
      <c r="D17" s="10"/>
      <c r="E17" s="10"/>
      <c r="M17" s="14" t="s">
        <v>96</v>
      </c>
      <c r="N17" s="14">
        <v>10</v>
      </c>
    </row>
    <row r="18" spans="3:14" x14ac:dyDescent="0.3">
      <c r="C18" s="11" t="s">
        <v>54</v>
      </c>
      <c r="D18" s="10">
        <f>_xlfn.VAR.P(A2:A11)</f>
        <v>2113003.84</v>
      </c>
      <c r="E18" s="12" t="s">
        <v>77</v>
      </c>
      <c r="M18" s="14" t="s">
        <v>97</v>
      </c>
      <c r="N18" s="14">
        <v>4802</v>
      </c>
    </row>
    <row r="19" spans="3:14" x14ac:dyDescent="0.3">
      <c r="C19" s="11" t="s">
        <v>55</v>
      </c>
      <c r="D19" s="10">
        <f>_xlfn.VAR.S(A2:A11)</f>
        <v>2347782.0444444451</v>
      </c>
      <c r="E19" s="12" t="s">
        <v>70</v>
      </c>
      <c r="M19" s="14" t="s">
        <v>98</v>
      </c>
      <c r="N19" s="14">
        <v>2379</v>
      </c>
    </row>
    <row r="20" spans="3:14" ht="15" thickBot="1" x14ac:dyDescent="0.35">
      <c r="C20" t="s">
        <v>56</v>
      </c>
      <c r="D20" s="10"/>
      <c r="E20" s="10"/>
      <c r="M20" s="15" t="s">
        <v>99</v>
      </c>
      <c r="N20" s="15">
        <v>1096.1037474893249</v>
      </c>
    </row>
    <row r="21" spans="3:14" x14ac:dyDescent="0.3">
      <c r="C21" s="11" t="s">
        <v>54</v>
      </c>
      <c r="D21" s="10">
        <f>_xlfn.STDEV.P(A2:A11)</f>
        <v>1453.6175012705371</v>
      </c>
      <c r="E21" s="12" t="s">
        <v>71</v>
      </c>
    </row>
    <row r="22" spans="3:14" x14ac:dyDescent="0.3">
      <c r="C22" s="11" t="s">
        <v>55</v>
      </c>
      <c r="D22" s="10">
        <f>_xlfn.STDEV.S(A2:A11)</f>
        <v>1532.247383565867</v>
      </c>
      <c r="E22" s="12" t="s">
        <v>72</v>
      </c>
      <c r="M22" t="s">
        <v>78</v>
      </c>
      <c r="N22">
        <f>N5-N20</f>
        <v>1859.496252510675</v>
      </c>
    </row>
    <row r="23" spans="3:14" x14ac:dyDescent="0.3">
      <c r="C23" s="13" t="s">
        <v>80</v>
      </c>
      <c r="D23">
        <f>AVEDEV(A2:A11)</f>
        <v>1274.2</v>
      </c>
      <c r="E23" s="12" t="s">
        <v>81</v>
      </c>
      <c r="M23" t="s">
        <v>79</v>
      </c>
      <c r="N23">
        <f>N5+N20</f>
        <v>4051.703747489325</v>
      </c>
    </row>
    <row r="24" spans="3:14" x14ac:dyDescent="0.3">
      <c r="C24" s="6" t="s">
        <v>57</v>
      </c>
      <c r="D24" s="10">
        <f>SKEW(A2:A11)</f>
        <v>0.17600721004286513</v>
      </c>
      <c r="E24" s="12" t="s">
        <v>73</v>
      </c>
    </row>
    <row r="25" spans="3:14" x14ac:dyDescent="0.3">
      <c r="C25" s="6" t="s">
        <v>83</v>
      </c>
      <c r="D25" s="10">
        <f>KURT(A2:A11)</f>
        <v>-1.4450837242953205</v>
      </c>
      <c r="E25" s="12" t="s">
        <v>74</v>
      </c>
    </row>
    <row r="26" spans="3:14" x14ac:dyDescent="0.3">
      <c r="I26" s="2" t="s">
        <v>76</v>
      </c>
    </row>
    <row r="28" spans="3:14" x14ac:dyDescent="0.3">
      <c r="F28" s="2" t="s">
        <v>75</v>
      </c>
    </row>
  </sheetData>
  <sortState ref="B2:B11">
    <sortCondition ref="B2"/>
  </sortState>
  <pageMargins left="0.7" right="0.7" top="0.75" bottom="0.75" header="0.3" footer="0.3"/>
  <ignoredErrors>
    <ignoredError sqref="D8" evalError="1"/>
    <ignoredError sqref="D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857D-BA81-4AC9-8F62-82CBA2E20235}">
  <dimension ref="B4:I26"/>
  <sheetViews>
    <sheetView workbookViewId="0">
      <selection activeCell="I4" sqref="I4"/>
    </sheetView>
  </sheetViews>
  <sheetFormatPr defaultRowHeight="14.4" x14ac:dyDescent="0.3"/>
  <cols>
    <col min="2" max="2" width="28.44140625" bestFit="1" customWidth="1"/>
  </cols>
  <sheetData>
    <row r="4" spans="2:9" x14ac:dyDescent="0.3">
      <c r="B4" t="s">
        <v>100</v>
      </c>
      <c r="C4">
        <v>5</v>
      </c>
      <c r="I4" s="17" t="s">
        <v>75</v>
      </c>
    </row>
    <row r="5" spans="2:9" x14ac:dyDescent="0.3">
      <c r="B5" t="s">
        <v>102</v>
      </c>
      <c r="C5">
        <v>240</v>
      </c>
    </row>
    <row r="6" spans="2:9" x14ac:dyDescent="0.3">
      <c r="B6" t="s">
        <v>101</v>
      </c>
      <c r="C6">
        <f>C4*C5</f>
        <v>1200</v>
      </c>
    </row>
    <row r="26" spans="4:4" x14ac:dyDescent="0.3">
      <c r="D26" s="2"/>
    </row>
  </sheetData>
  <hyperlinks>
    <hyperlink ref="I4" r:id="rId1" xr:uid="{9DB39FBA-953B-4AF6-BDDF-2B204167E0A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9F18-AF80-435A-9979-D313A2E8EE4D}">
  <sheetPr>
    <outlinePr summaryBelow="0"/>
  </sheetPr>
  <dimension ref="B1:G11"/>
  <sheetViews>
    <sheetView showGridLines="0" workbookViewId="0">
      <selection activeCell="G6" sqref="G6"/>
    </sheetView>
  </sheetViews>
  <sheetFormatPr defaultRowHeight="14.4" outlineLevelRow="1" outlineLevelCol="1" x14ac:dyDescent="0.3"/>
  <cols>
    <col min="3" max="3" width="17.88671875" customWidth="1"/>
    <col min="4" max="7" width="13.109375" bestFit="1" customWidth="1" outlineLevel="1"/>
  </cols>
  <sheetData>
    <row r="1" spans="2:7" ht="15" thickBot="1" x14ac:dyDescent="0.35"/>
    <row r="2" spans="2:7" ht="15.6" x14ac:dyDescent="0.3">
      <c r="B2" s="21" t="s">
        <v>115</v>
      </c>
      <c r="C2" s="21"/>
      <c r="D2" s="26"/>
      <c r="E2" s="26"/>
      <c r="F2" s="26"/>
      <c r="G2" s="26"/>
    </row>
    <row r="3" spans="2:7" ht="15.6" collapsed="1" x14ac:dyDescent="0.3">
      <c r="B3" s="20"/>
      <c r="C3" s="20"/>
      <c r="D3" s="27" t="s">
        <v>117</v>
      </c>
      <c r="E3" s="27" t="s">
        <v>111</v>
      </c>
      <c r="F3" s="27" t="s">
        <v>113</v>
      </c>
      <c r="G3" s="27" t="s">
        <v>114</v>
      </c>
    </row>
    <row r="4" spans="2:7" ht="20.399999999999999" hidden="1" outlineLevel="1" x14ac:dyDescent="0.3">
      <c r="B4" s="23"/>
      <c r="C4" s="23"/>
      <c r="D4" s="14"/>
      <c r="E4" s="29" t="s">
        <v>112</v>
      </c>
      <c r="F4" s="29" t="s">
        <v>112</v>
      </c>
      <c r="G4" s="29" t="s">
        <v>112</v>
      </c>
    </row>
    <row r="5" spans="2:7" x14ac:dyDescent="0.3">
      <c r="B5" s="24" t="s">
        <v>116</v>
      </c>
      <c r="C5" s="24"/>
      <c r="D5" s="22"/>
      <c r="E5" s="22"/>
      <c r="F5" s="22"/>
      <c r="G5" s="22"/>
    </row>
    <row r="6" spans="2:7" outlineLevel="1" x14ac:dyDescent="0.3">
      <c r="B6" s="23"/>
      <c r="C6" s="23" t="s">
        <v>122</v>
      </c>
      <c r="D6" s="19">
        <v>-0.15</v>
      </c>
      <c r="E6" s="28">
        <v>0.2</v>
      </c>
      <c r="F6" s="28">
        <v>0.05</v>
      </c>
      <c r="G6" s="28">
        <v>-0.15</v>
      </c>
    </row>
    <row r="7" spans="2:7" x14ac:dyDescent="0.3">
      <c r="B7" s="24" t="s">
        <v>118</v>
      </c>
      <c r="C7" s="24"/>
      <c r="D7" s="22"/>
      <c r="E7" s="22"/>
      <c r="F7" s="22"/>
      <c r="G7" s="22"/>
    </row>
    <row r="8" spans="2:7" ht="15" outlineLevel="1" thickBot="1" x14ac:dyDescent="0.35">
      <c r="B8" s="25"/>
      <c r="C8" s="25" t="s">
        <v>123</v>
      </c>
      <c r="D8" s="15">
        <v>-1246.5</v>
      </c>
      <c r="E8" s="15">
        <v>1662</v>
      </c>
      <c r="F8" s="15">
        <v>415.5</v>
      </c>
      <c r="G8" s="15">
        <v>-1246.5</v>
      </c>
    </row>
    <row r="9" spans="2:7" x14ac:dyDescent="0.3">
      <c r="B9" t="s">
        <v>119</v>
      </c>
    </row>
    <row r="10" spans="2:7" x14ac:dyDescent="0.3">
      <c r="B10" t="s">
        <v>120</v>
      </c>
    </row>
    <row r="11" spans="2:7" x14ac:dyDescent="0.3">
      <c r="B1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066E-5288-4B28-8400-D375B6E98825}">
  <dimension ref="B1:G15"/>
  <sheetViews>
    <sheetView zoomScale="182" zoomScaleNormal="182" workbookViewId="0">
      <selection activeCell="C15" sqref="C15"/>
    </sheetView>
  </sheetViews>
  <sheetFormatPr defaultRowHeight="14.4" x14ac:dyDescent="0.3"/>
  <cols>
    <col min="2" max="2" width="21" bestFit="1" customWidth="1"/>
    <col min="5" max="5" width="13.5546875" bestFit="1" customWidth="1"/>
    <col min="6" max="6" width="11.44140625" bestFit="1" customWidth="1"/>
    <col min="7" max="7" width="13.5546875" bestFit="1" customWidth="1"/>
  </cols>
  <sheetData>
    <row r="1" spans="2:7" x14ac:dyDescent="0.3">
      <c r="B1" t="s">
        <v>109</v>
      </c>
      <c r="C1">
        <v>1000</v>
      </c>
      <c r="F1" t="s">
        <v>108</v>
      </c>
      <c r="G1" t="s">
        <v>107</v>
      </c>
    </row>
    <row r="2" spans="2:7" x14ac:dyDescent="0.3">
      <c r="B2" t="s">
        <v>110</v>
      </c>
      <c r="C2">
        <v>8.31</v>
      </c>
      <c r="F2" s="18">
        <v>-0.15</v>
      </c>
      <c r="G2">
        <f>C1*C2*F2</f>
        <v>-1246.5</v>
      </c>
    </row>
    <row r="3" spans="2:7" x14ac:dyDescent="0.3">
      <c r="B3" t="s">
        <v>103</v>
      </c>
    </row>
    <row r="4" spans="2:7" x14ac:dyDescent="0.3">
      <c r="B4" t="s">
        <v>104</v>
      </c>
      <c r="C4" s="18">
        <v>0.2</v>
      </c>
    </row>
    <row r="5" spans="2:7" x14ac:dyDescent="0.3">
      <c r="B5" t="s">
        <v>105</v>
      </c>
      <c r="C5" s="18">
        <v>0.05</v>
      </c>
    </row>
    <row r="6" spans="2:7" x14ac:dyDescent="0.3">
      <c r="B6" t="s">
        <v>106</v>
      </c>
      <c r="C6" s="18">
        <v>-0.15</v>
      </c>
    </row>
    <row r="15" spans="2:7" x14ac:dyDescent="0.3">
      <c r="C15" s="17" t="s">
        <v>75</v>
      </c>
    </row>
  </sheetData>
  <scenarios current="2" show="2" sqref="G2">
    <scenario name="Otimista" locked="1" count="1" user="JJDC" comment="Created by JJDC on 29/09/2023">
      <inputCells r="F2" val="0.2" numFmtId="9"/>
    </scenario>
    <scenario name="Moderado" locked="1" count="1" user="JJDC" comment="Created by JJDC on 29/09/2023">
      <inputCells r="F2" val="0.05" numFmtId="9"/>
    </scenario>
    <scenario name="Pessimista" locked="1" count="1" user="JJDC" comment="Created by JJDC on 29/09/2023">
      <inputCells r="F2" val="-0.15" numFmtId="9"/>
    </scenario>
  </scenarios>
  <hyperlinks>
    <hyperlink ref="C15" r:id="rId1" xr:uid="{01707433-5FE7-420A-A7D2-EBF825B1409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0F46-4E82-4A68-A8F3-BB4D0D182398}">
  <dimension ref="A1:L251"/>
  <sheetViews>
    <sheetView tabSelected="1" zoomScaleNormal="100" workbookViewId="0">
      <selection activeCell="K26" sqref="K26"/>
    </sheetView>
  </sheetViews>
  <sheetFormatPr defaultRowHeight="14.4" x14ac:dyDescent="0.3"/>
  <cols>
    <col min="2" max="2" width="6.88671875" bestFit="1" customWidth="1"/>
    <col min="3" max="3" width="3.44140625" customWidth="1"/>
    <col min="4" max="4" width="21.77734375" bestFit="1" customWidth="1"/>
    <col min="5" max="5" width="10.6640625" customWidth="1"/>
    <col min="6" max="6" width="11.44140625" bestFit="1" customWidth="1"/>
    <col min="7" max="7" width="11.5546875" customWidth="1"/>
    <col min="8" max="8" width="12.33203125" customWidth="1"/>
    <col min="9" max="9" width="1.88671875" customWidth="1"/>
    <col min="10" max="10" width="33.33203125" customWidth="1"/>
  </cols>
  <sheetData>
    <row r="1" spans="1:12" x14ac:dyDescent="0.3">
      <c r="A1" t="s">
        <v>124</v>
      </c>
      <c r="B1" t="s">
        <v>125</v>
      </c>
      <c r="D1" t="s">
        <v>126</v>
      </c>
      <c r="J1" t="s">
        <v>147</v>
      </c>
      <c r="K1" t="s">
        <v>127</v>
      </c>
    </row>
    <row r="2" spans="1:12" x14ac:dyDescent="0.3">
      <c r="A2" s="30">
        <v>39448</v>
      </c>
      <c r="B2">
        <v>4.5010000000000003</v>
      </c>
      <c r="D2" t="s">
        <v>128</v>
      </c>
      <c r="E2">
        <v>300000</v>
      </c>
    </row>
    <row r="3" spans="1:12" x14ac:dyDescent="0.3">
      <c r="A3" s="30">
        <v>39479</v>
      </c>
      <c r="B3">
        <v>4.3559999999999999</v>
      </c>
      <c r="D3" t="s">
        <v>129</v>
      </c>
      <c r="E3">
        <v>20</v>
      </c>
      <c r="J3" t="s">
        <v>130</v>
      </c>
    </row>
    <row r="4" spans="1:12" x14ac:dyDescent="0.3">
      <c r="A4" s="30">
        <v>39508</v>
      </c>
      <c r="B4">
        <v>4.593</v>
      </c>
      <c r="D4" t="s">
        <v>131</v>
      </c>
      <c r="E4">
        <v>12</v>
      </c>
      <c r="J4" t="s">
        <v>132</v>
      </c>
    </row>
    <row r="5" spans="1:12" x14ac:dyDescent="0.3">
      <c r="A5" s="30">
        <v>39539</v>
      </c>
      <c r="B5">
        <v>4.7949999999999999</v>
      </c>
      <c r="D5" t="s">
        <v>133</v>
      </c>
      <c r="E5">
        <f>E3*E4</f>
        <v>240</v>
      </c>
    </row>
    <row r="6" spans="1:12" x14ac:dyDescent="0.3">
      <c r="A6" s="30">
        <v>39569</v>
      </c>
      <c r="B6">
        <v>4.8970000000000002</v>
      </c>
      <c r="D6" t="s">
        <v>134</v>
      </c>
      <c r="E6" s="44">
        <f>$B$190/100</f>
        <v>3.934E-2</v>
      </c>
      <c r="J6" t="s">
        <v>135</v>
      </c>
      <c r="K6" s="31">
        <f>K7*E4</f>
        <v>5.1211503400449956E-2</v>
      </c>
      <c r="L6" s="34">
        <f>K6-E7</f>
        <v>4.6211503400449959E-2</v>
      </c>
    </row>
    <row r="7" spans="1:12" x14ac:dyDescent="0.3">
      <c r="A7" s="30">
        <v>39600</v>
      </c>
      <c r="B7">
        <v>5.0880000000000001</v>
      </c>
      <c r="D7" t="s">
        <v>136</v>
      </c>
      <c r="E7" s="32">
        <v>5.0000000000000001E-3</v>
      </c>
      <c r="J7" s="33" t="s">
        <v>137</v>
      </c>
      <c r="K7" s="31">
        <f>E9</f>
        <v>4.26762528337083E-3</v>
      </c>
    </row>
    <row r="8" spans="1:12" x14ac:dyDescent="0.3">
      <c r="A8" s="30">
        <v>39630</v>
      </c>
      <c r="B8">
        <v>5.1479999999999997</v>
      </c>
      <c r="D8" t="s">
        <v>135</v>
      </c>
      <c r="E8" s="34">
        <f>E6+E7</f>
        <v>4.4339999999999997E-2</v>
      </c>
      <c r="J8" s="35" t="s">
        <v>138</v>
      </c>
      <c r="K8">
        <v>2000</v>
      </c>
    </row>
    <row r="9" spans="1:12" x14ac:dyDescent="0.3">
      <c r="A9" s="30">
        <v>39661</v>
      </c>
      <c r="B9">
        <v>5.16</v>
      </c>
      <c r="D9" s="33" t="s">
        <v>137</v>
      </c>
      <c r="E9" s="36">
        <v>4.26762528337083E-3</v>
      </c>
      <c r="F9" s="36">
        <f>E8/E4</f>
        <v>3.6949999999999999E-3</v>
      </c>
    </row>
    <row r="10" spans="1:12" x14ac:dyDescent="0.3">
      <c r="A10" s="30">
        <v>39692</v>
      </c>
      <c r="B10">
        <v>5.2190000000000003</v>
      </c>
    </row>
    <row r="11" spans="1:12" x14ac:dyDescent="0.3">
      <c r="A11" s="30">
        <v>39722</v>
      </c>
      <c r="B11">
        <v>5.1779999999999999</v>
      </c>
      <c r="D11" t="s">
        <v>139</v>
      </c>
      <c r="E11" s="37" t="s">
        <v>140</v>
      </c>
      <c r="F11" s="37" t="s">
        <v>141</v>
      </c>
      <c r="G11" s="37" t="s">
        <v>142</v>
      </c>
      <c r="H11" s="37" t="s">
        <v>24</v>
      </c>
      <c r="J11" s="37" t="s">
        <v>143</v>
      </c>
    </row>
    <row r="12" spans="1:12" x14ac:dyDescent="0.3">
      <c r="A12" s="30">
        <v>39753</v>
      </c>
      <c r="B12">
        <v>4.2949999999999999</v>
      </c>
      <c r="D12">
        <v>1</v>
      </c>
      <c r="E12" s="38">
        <f>PMT($E$9,$E$5,$E$2,0,0)</f>
        <v>-1999.9999998527901</v>
      </c>
      <c r="F12">
        <f>CUMPRINC($E$9,$E$5,$E$2,D12,D12,0)</f>
        <v>-719.71241484154132</v>
      </c>
      <c r="G12">
        <f>CUMIPMT($E$9,$E$5,$E$2,D12,D12,0)</f>
        <v>-1280.2875850112487</v>
      </c>
      <c r="H12">
        <f>F12+G12</f>
        <v>-1999.9999998527901</v>
      </c>
      <c r="J12" t="s">
        <v>144</v>
      </c>
    </row>
    <row r="13" spans="1:12" x14ac:dyDescent="0.3">
      <c r="A13" s="30">
        <v>39783</v>
      </c>
      <c r="B13">
        <v>3.3650000000000002</v>
      </c>
      <c r="D13">
        <v>2</v>
      </c>
      <c r="E13" s="38">
        <f t="shared" ref="E13:E76" si="0">PMT($E$9,$E$5,$E$2,0,0)</f>
        <v>-1999.9999998527901</v>
      </c>
      <c r="F13">
        <f t="shared" ref="F13:F76" si="1">CUMPRINC($E$9,$E$5,$E$2,D13,D13,0)</f>
        <v>-722.78387773987492</v>
      </c>
      <c r="G13">
        <f t="shared" ref="G13:G76" si="2">CUMIPMT($E$9,$E$5,$E$2,D13,D13,0)</f>
        <v>-1277.2161221129152</v>
      </c>
      <c r="H13">
        <f t="shared" ref="H13:H76" si="3">F13+G13</f>
        <v>-1999.9999998527901</v>
      </c>
      <c r="J13" t="s">
        <v>145</v>
      </c>
    </row>
    <row r="14" spans="1:12" x14ac:dyDescent="0.3">
      <c r="A14" s="30">
        <v>39814</v>
      </c>
      <c r="B14" s="13">
        <v>2.5390000000000001</v>
      </c>
      <c r="D14">
        <v>3</v>
      </c>
      <c r="E14" s="38">
        <f t="shared" si="0"/>
        <v>-1999.9999998527901</v>
      </c>
      <c r="F14">
        <f t="shared" si="1"/>
        <v>-725.8684484909304</v>
      </c>
      <c r="G14">
        <f t="shared" si="2"/>
        <v>-1274.1315513618597</v>
      </c>
      <c r="H14">
        <f t="shared" si="3"/>
        <v>-1999.9999998527901</v>
      </c>
      <c r="J14" t="s">
        <v>146</v>
      </c>
    </row>
    <row r="15" spans="1:12" x14ac:dyDescent="0.3">
      <c r="A15" s="30">
        <v>39845</v>
      </c>
      <c r="B15" s="13">
        <v>2.0339999999999998</v>
      </c>
      <c r="D15">
        <v>4</v>
      </c>
      <c r="E15" s="38">
        <f t="shared" si="0"/>
        <v>-1999.9999998527901</v>
      </c>
      <c r="F15">
        <f t="shared" si="1"/>
        <v>-728.96618303411151</v>
      </c>
      <c r="G15">
        <f t="shared" si="2"/>
        <v>-1271.0338168186786</v>
      </c>
      <c r="H15">
        <f t="shared" si="3"/>
        <v>-1999.9999998527901</v>
      </c>
    </row>
    <row r="16" spans="1:12" x14ac:dyDescent="0.3">
      <c r="A16" s="30">
        <v>39873</v>
      </c>
      <c r="B16" s="13">
        <v>1.7749999999999999</v>
      </c>
      <c r="D16">
        <v>5</v>
      </c>
      <c r="E16" s="38">
        <f t="shared" si="0"/>
        <v>-1999.9999998527901</v>
      </c>
      <c r="F16">
        <f t="shared" si="1"/>
        <v>-732.07713754755025</v>
      </c>
      <c r="G16">
        <f t="shared" si="2"/>
        <v>-1267.92286230524</v>
      </c>
      <c r="H16">
        <f t="shared" si="3"/>
        <v>-1999.9999998527901</v>
      </c>
    </row>
    <row r="17" spans="1:11" x14ac:dyDescent="0.3">
      <c r="A17" s="30">
        <v>39904</v>
      </c>
      <c r="B17" s="13">
        <v>1.6080000000000001</v>
      </c>
      <c r="D17">
        <v>6</v>
      </c>
      <c r="E17" s="38">
        <f t="shared" si="0"/>
        <v>-1999.9999998527901</v>
      </c>
      <c r="F17">
        <f t="shared" si="1"/>
        <v>-735.20136844912599</v>
      </c>
      <c r="G17">
        <f t="shared" si="2"/>
        <v>-1264.7986314036641</v>
      </c>
      <c r="H17">
        <f t="shared" si="3"/>
        <v>-1999.9999998527901</v>
      </c>
    </row>
    <row r="18" spans="1:11" x14ac:dyDescent="0.3">
      <c r="A18" s="30">
        <v>39934</v>
      </c>
      <c r="B18" s="13">
        <v>1.48</v>
      </c>
      <c r="D18">
        <v>7</v>
      </c>
      <c r="E18" s="38">
        <f t="shared" si="0"/>
        <v>-1999.9999998527901</v>
      </c>
      <c r="F18">
        <f t="shared" si="1"/>
        <v>-738.33893239748818</v>
      </c>
      <c r="G18">
        <f t="shared" si="2"/>
        <v>-1261.6610674553019</v>
      </c>
      <c r="H18">
        <f t="shared" si="3"/>
        <v>-1999.9999998527901</v>
      </c>
    </row>
    <row r="19" spans="1:11" x14ac:dyDescent="0.3">
      <c r="A19" s="30">
        <v>39965</v>
      </c>
      <c r="B19" s="13">
        <v>1.4359999999999999</v>
      </c>
      <c r="D19">
        <v>8</v>
      </c>
      <c r="E19" s="38">
        <f t="shared" si="0"/>
        <v>-1999.9999998527901</v>
      </c>
      <c r="F19">
        <f t="shared" si="1"/>
        <v>-741.48988629308474</v>
      </c>
      <c r="G19">
        <f t="shared" si="2"/>
        <v>-1258.5101135597054</v>
      </c>
      <c r="H19">
        <f t="shared" si="3"/>
        <v>-1999.9999998527901</v>
      </c>
    </row>
    <row r="20" spans="1:11" x14ac:dyDescent="0.3">
      <c r="A20" s="30">
        <v>39995</v>
      </c>
      <c r="B20" s="13">
        <v>1.2130000000000001</v>
      </c>
      <c r="D20">
        <v>9</v>
      </c>
      <c r="E20" s="38">
        <f t="shared" si="0"/>
        <v>-1999.9999998527901</v>
      </c>
      <c r="F20">
        <f t="shared" si="1"/>
        <v>-744.65428727919289</v>
      </c>
      <c r="G20">
        <f t="shared" si="2"/>
        <v>-1255.3457125735972</v>
      </c>
      <c r="H20">
        <f t="shared" si="3"/>
        <v>-1999.9999998527901</v>
      </c>
    </row>
    <row r="21" spans="1:11" x14ac:dyDescent="0.3">
      <c r="A21" s="30">
        <v>40026</v>
      </c>
      <c r="B21" s="13">
        <v>1.115</v>
      </c>
      <c r="D21">
        <v>10</v>
      </c>
      <c r="E21" s="38">
        <f t="shared" si="0"/>
        <v>-1999.9999998527901</v>
      </c>
      <c r="F21">
        <f t="shared" si="1"/>
        <v>-747.83219274295607</v>
      </c>
      <c r="G21">
        <f t="shared" si="2"/>
        <v>-1252.167807109834</v>
      </c>
      <c r="H21">
        <f t="shared" si="3"/>
        <v>-1999.9999998527901</v>
      </c>
    </row>
    <row r="22" spans="1:11" x14ac:dyDescent="0.3">
      <c r="A22" s="30">
        <v>40057</v>
      </c>
      <c r="B22" s="13">
        <v>1.042</v>
      </c>
      <c r="D22">
        <v>11</v>
      </c>
      <c r="E22" s="38">
        <f t="shared" si="0"/>
        <v>-1999.9999998527901</v>
      </c>
      <c r="F22">
        <f t="shared" si="1"/>
        <v>-751.02366031642464</v>
      </c>
      <c r="G22">
        <f t="shared" si="2"/>
        <v>-1248.9763395363655</v>
      </c>
      <c r="H22">
        <f t="shared" si="3"/>
        <v>-1999.9999998527901</v>
      </c>
    </row>
    <row r="23" spans="1:11" x14ac:dyDescent="0.3">
      <c r="A23" s="30">
        <v>40087</v>
      </c>
      <c r="B23" s="13">
        <v>1.0169999999999999</v>
      </c>
      <c r="D23">
        <v>12</v>
      </c>
      <c r="E23" s="38">
        <f t="shared" si="0"/>
        <v>-1999.9999998527901</v>
      </c>
      <c r="F23">
        <f t="shared" si="1"/>
        <v>-754.22874787760054</v>
      </c>
      <c r="G23">
        <f t="shared" si="2"/>
        <v>-1245.7712519751894</v>
      </c>
      <c r="H23">
        <f t="shared" si="3"/>
        <v>-1999.9999998527901</v>
      </c>
    </row>
    <row r="24" spans="1:11" x14ac:dyDescent="0.3">
      <c r="A24" s="30">
        <v>40118</v>
      </c>
      <c r="B24" s="13">
        <v>0.99299999999999999</v>
      </c>
      <c r="D24">
        <v>13</v>
      </c>
      <c r="E24" s="38">
        <f t="shared" si="0"/>
        <v>-1999.9999998527901</v>
      </c>
      <c r="F24">
        <f t="shared" si="1"/>
        <v>-757.4475135514881</v>
      </c>
      <c r="G24">
        <f t="shared" si="2"/>
        <v>-1242.552486301302</v>
      </c>
      <c r="H24">
        <f t="shared" si="3"/>
        <v>-1999.9999998527901</v>
      </c>
    </row>
    <row r="25" spans="1:11" x14ac:dyDescent="0.3">
      <c r="A25" s="30">
        <v>40148</v>
      </c>
      <c r="B25" s="13">
        <v>0.996</v>
      </c>
      <c r="D25">
        <v>14</v>
      </c>
      <c r="E25" s="38">
        <f t="shared" si="0"/>
        <v>-1999.9999998527901</v>
      </c>
      <c r="F25">
        <f t="shared" si="1"/>
        <v>-760.68001571114701</v>
      </c>
      <c r="G25">
        <f t="shared" si="2"/>
        <v>-1239.3199841416431</v>
      </c>
      <c r="H25">
        <f t="shared" si="3"/>
        <v>-1999.9999998527901</v>
      </c>
    </row>
    <row r="26" spans="1:11" x14ac:dyDescent="0.3">
      <c r="A26" s="30">
        <v>40179</v>
      </c>
      <c r="B26">
        <v>0.97699999999999998</v>
      </c>
      <c r="D26">
        <v>15</v>
      </c>
      <c r="E26" s="38">
        <f t="shared" si="0"/>
        <v>-1999.9999998527901</v>
      </c>
      <c r="F26">
        <f t="shared" si="1"/>
        <v>-763.92631297875073</v>
      </c>
      <c r="G26">
        <f t="shared" si="2"/>
        <v>-1236.0736868740394</v>
      </c>
      <c r="H26">
        <f t="shared" si="3"/>
        <v>-1999.9999998527901</v>
      </c>
      <c r="K26" s="17" t="s">
        <v>75</v>
      </c>
    </row>
    <row r="27" spans="1:11" x14ac:dyDescent="0.3">
      <c r="A27" s="30">
        <v>40210</v>
      </c>
      <c r="B27">
        <v>0.96499999999999997</v>
      </c>
      <c r="D27">
        <v>16</v>
      </c>
      <c r="E27" s="38">
        <f t="shared" si="0"/>
        <v>-1999.9999998527901</v>
      </c>
      <c r="F27">
        <f t="shared" si="1"/>
        <v>-767.1864642266512</v>
      </c>
      <c r="G27">
        <f t="shared" si="2"/>
        <v>-1232.8135356261389</v>
      </c>
      <c r="H27">
        <f t="shared" si="3"/>
        <v>-1999.9999998527901</v>
      </c>
    </row>
    <row r="28" spans="1:11" x14ac:dyDescent="0.3">
      <c r="A28" s="30">
        <v>40238</v>
      </c>
      <c r="B28">
        <v>0.95199999999999996</v>
      </c>
      <c r="D28">
        <v>17</v>
      </c>
      <c r="E28" s="38">
        <f t="shared" si="0"/>
        <v>-1999.9999998527901</v>
      </c>
      <c r="F28">
        <f t="shared" si="1"/>
        <v>-770.46052857844461</v>
      </c>
      <c r="G28">
        <f t="shared" si="2"/>
        <v>-1229.5394712743455</v>
      </c>
      <c r="H28">
        <f t="shared" si="3"/>
        <v>-1999.9999998527901</v>
      </c>
    </row>
    <row r="29" spans="1:11" x14ac:dyDescent="0.3">
      <c r="A29" s="30">
        <v>40269</v>
      </c>
      <c r="B29">
        <v>0.95499999999999996</v>
      </c>
      <c r="D29">
        <v>18</v>
      </c>
      <c r="E29" s="38">
        <f t="shared" si="0"/>
        <v>-1999.9999998527901</v>
      </c>
      <c r="F29">
        <f t="shared" si="1"/>
        <v>-773.74856541004522</v>
      </c>
      <c r="G29">
        <f t="shared" si="2"/>
        <v>-1226.251434442745</v>
      </c>
      <c r="H29">
        <f t="shared" si="3"/>
        <v>-1999.9999998527901</v>
      </c>
    </row>
    <row r="30" spans="1:11" x14ac:dyDescent="0.3">
      <c r="A30" s="30">
        <v>40299</v>
      </c>
      <c r="B30">
        <v>0.98199999999999998</v>
      </c>
      <c r="D30">
        <v>19</v>
      </c>
      <c r="E30" s="38">
        <f t="shared" si="0"/>
        <v>-1999.9999998527901</v>
      </c>
      <c r="F30">
        <f t="shared" si="1"/>
        <v>-777.0506343507609</v>
      </c>
      <c r="G30">
        <f t="shared" si="2"/>
        <v>-1222.9493655020292</v>
      </c>
      <c r="H30">
        <f t="shared" si="3"/>
        <v>-1999.9999998527901</v>
      </c>
    </row>
    <row r="31" spans="1:11" x14ac:dyDescent="0.3">
      <c r="A31" s="30">
        <v>40330</v>
      </c>
      <c r="B31">
        <v>1.012</v>
      </c>
      <c r="D31">
        <v>20</v>
      </c>
      <c r="E31" s="38">
        <f t="shared" si="0"/>
        <v>-1999.9999998527901</v>
      </c>
      <c r="F31">
        <f t="shared" si="1"/>
        <v>-780.36679528437571</v>
      </c>
      <c r="G31">
        <f t="shared" si="2"/>
        <v>-1219.6332045684144</v>
      </c>
      <c r="H31">
        <f t="shared" si="3"/>
        <v>-1999.9999998527901</v>
      </c>
    </row>
    <row r="32" spans="1:11" x14ac:dyDescent="0.3">
      <c r="A32" s="30">
        <v>40360</v>
      </c>
      <c r="B32">
        <v>1.1040000000000001</v>
      </c>
      <c r="D32">
        <v>21</v>
      </c>
      <c r="E32" s="38">
        <f t="shared" si="0"/>
        <v>-1999.9999998527901</v>
      </c>
      <c r="F32">
        <f t="shared" si="1"/>
        <v>-783.69710835023443</v>
      </c>
      <c r="G32">
        <f t="shared" si="2"/>
        <v>-1216.3028915025557</v>
      </c>
      <c r="H32">
        <f t="shared" si="3"/>
        <v>-1999.9999998527901</v>
      </c>
    </row>
    <row r="33" spans="1:8" x14ac:dyDescent="0.3">
      <c r="A33" s="30">
        <v>40391</v>
      </c>
      <c r="B33">
        <v>1.147</v>
      </c>
      <c r="D33">
        <v>22</v>
      </c>
      <c r="E33" s="38">
        <f t="shared" si="0"/>
        <v>-1999.9999998527901</v>
      </c>
      <c r="F33">
        <f t="shared" si="1"/>
        <v>-787.04163394433431</v>
      </c>
      <c r="G33">
        <f t="shared" si="2"/>
        <v>-1212.9583659084558</v>
      </c>
      <c r="H33">
        <f t="shared" si="3"/>
        <v>-1999.9999998527901</v>
      </c>
    </row>
    <row r="34" spans="1:8" x14ac:dyDescent="0.3">
      <c r="A34" s="30">
        <v>40422</v>
      </c>
      <c r="B34">
        <v>1.137</v>
      </c>
      <c r="D34">
        <v>23</v>
      </c>
      <c r="E34" s="38">
        <f t="shared" si="0"/>
        <v>-1999.9999998527901</v>
      </c>
      <c r="F34">
        <f t="shared" si="1"/>
        <v>-790.40043272042078</v>
      </c>
      <c r="G34">
        <f t="shared" si="2"/>
        <v>-1209.5995671323694</v>
      </c>
      <c r="H34">
        <f t="shared" si="3"/>
        <v>-1999.9999998527901</v>
      </c>
    </row>
    <row r="35" spans="1:8" x14ac:dyDescent="0.3">
      <c r="A35" s="30">
        <v>40452</v>
      </c>
      <c r="B35">
        <v>1.224</v>
      </c>
      <c r="D35">
        <v>24</v>
      </c>
      <c r="E35" s="38">
        <f t="shared" si="0"/>
        <v>-1999.9999998527901</v>
      </c>
      <c r="F35">
        <f t="shared" si="1"/>
        <v>-793.77356559108568</v>
      </c>
      <c r="G35">
        <f t="shared" si="2"/>
        <v>-1206.2264342617045</v>
      </c>
      <c r="H35">
        <f t="shared" si="3"/>
        <v>-1999.9999998527901</v>
      </c>
    </row>
    <row r="36" spans="1:8" x14ac:dyDescent="0.3">
      <c r="A36" s="30">
        <v>40483</v>
      </c>
      <c r="B36">
        <v>1.2689999999999999</v>
      </c>
      <c r="D36">
        <v>25</v>
      </c>
      <c r="E36" s="38">
        <f t="shared" si="0"/>
        <v>-1999.9999998527901</v>
      </c>
      <c r="F36">
        <f t="shared" si="1"/>
        <v>-797.16109372887365</v>
      </c>
      <c r="G36">
        <f t="shared" si="2"/>
        <v>-1202.8389061239163</v>
      </c>
      <c r="H36">
        <f t="shared" si="3"/>
        <v>-1999.9999998527901</v>
      </c>
    </row>
    <row r="37" spans="1:8" x14ac:dyDescent="0.3">
      <c r="A37" s="30">
        <v>40513</v>
      </c>
      <c r="B37">
        <v>1.2509999999999999</v>
      </c>
      <c r="D37">
        <v>26</v>
      </c>
      <c r="E37" s="38">
        <f t="shared" si="0"/>
        <v>-1999.9999998527901</v>
      </c>
      <c r="F37">
        <f t="shared" si="1"/>
        <v>-800.56307856739045</v>
      </c>
      <c r="G37">
        <f t="shared" si="2"/>
        <v>-1199.4369212853996</v>
      </c>
      <c r="H37">
        <f t="shared" si="3"/>
        <v>-1999.9999998527901</v>
      </c>
    </row>
    <row r="38" spans="1:8" x14ac:dyDescent="0.3">
      <c r="A38" s="30">
        <v>40544</v>
      </c>
      <c r="B38">
        <v>1.254</v>
      </c>
      <c r="D38">
        <v>27</v>
      </c>
      <c r="E38" s="38">
        <f t="shared" si="0"/>
        <v>-1999.9999998527901</v>
      </c>
      <c r="F38">
        <f t="shared" si="1"/>
        <v>-803.97958180241778</v>
      </c>
      <c r="G38">
        <f t="shared" si="2"/>
        <v>-1196.0204180503724</v>
      </c>
      <c r="H38">
        <f t="shared" si="3"/>
        <v>-1999.9999998527901</v>
      </c>
    </row>
    <row r="39" spans="1:8" x14ac:dyDescent="0.3">
      <c r="A39" s="30">
        <v>40575</v>
      </c>
      <c r="B39">
        <v>1.3520000000000001</v>
      </c>
      <c r="D39">
        <v>28</v>
      </c>
      <c r="E39" s="38">
        <f t="shared" si="0"/>
        <v>-1999.9999998527901</v>
      </c>
      <c r="F39">
        <f t="shared" si="1"/>
        <v>-807.41066539303176</v>
      </c>
      <c r="G39">
        <f t="shared" si="2"/>
        <v>-1192.5893344597584</v>
      </c>
      <c r="H39">
        <f t="shared" si="3"/>
        <v>-1999.9999998527901</v>
      </c>
    </row>
    <row r="40" spans="1:8" x14ac:dyDescent="0.3">
      <c r="A40" s="30">
        <v>40603</v>
      </c>
      <c r="B40">
        <v>1.4830000000000001</v>
      </c>
      <c r="D40">
        <v>29</v>
      </c>
      <c r="E40" s="38">
        <f t="shared" si="0"/>
        <v>-1999.9999998527901</v>
      </c>
      <c r="F40">
        <f t="shared" si="1"/>
        <v>-810.85639156272623</v>
      </c>
      <c r="G40">
        <f t="shared" si="2"/>
        <v>-1189.1436082900639</v>
      </c>
      <c r="H40">
        <f t="shared" si="3"/>
        <v>-1999.9999998527901</v>
      </c>
    </row>
    <row r="41" spans="1:8" x14ac:dyDescent="0.3">
      <c r="A41" s="30">
        <v>40634</v>
      </c>
      <c r="B41">
        <v>1.621</v>
      </c>
      <c r="D41">
        <v>30</v>
      </c>
      <c r="E41" s="38">
        <f t="shared" si="0"/>
        <v>-1999.9999998527901</v>
      </c>
      <c r="F41">
        <f t="shared" si="1"/>
        <v>-814.31682280054235</v>
      </c>
      <c r="G41">
        <f t="shared" si="2"/>
        <v>-1185.6831770522476</v>
      </c>
      <c r="H41">
        <f t="shared" si="3"/>
        <v>-1999.9999998527901</v>
      </c>
    </row>
    <row r="42" spans="1:8" x14ac:dyDescent="0.3">
      <c r="A42" s="30">
        <v>40664</v>
      </c>
      <c r="B42">
        <v>1.7069999999999999</v>
      </c>
      <c r="D42">
        <v>31</v>
      </c>
      <c r="E42" s="38">
        <f t="shared" si="0"/>
        <v>-1999.9999998527901</v>
      </c>
      <c r="F42">
        <f t="shared" si="1"/>
        <v>-817.79202186220004</v>
      </c>
      <c r="G42">
        <f t="shared" si="2"/>
        <v>-1182.2079779905901</v>
      </c>
      <c r="H42">
        <f t="shared" si="3"/>
        <v>-1999.9999998527901</v>
      </c>
    </row>
    <row r="43" spans="1:8" x14ac:dyDescent="0.3">
      <c r="A43" s="30">
        <v>40695</v>
      </c>
      <c r="B43">
        <v>1.7489999999999999</v>
      </c>
      <c r="D43">
        <v>32</v>
      </c>
      <c r="E43" s="38">
        <f t="shared" si="0"/>
        <v>-1999.9999998527901</v>
      </c>
      <c r="F43">
        <f t="shared" si="1"/>
        <v>-821.28205177123812</v>
      </c>
      <c r="G43">
        <f t="shared" si="2"/>
        <v>-1178.7179480815521</v>
      </c>
      <c r="H43">
        <f t="shared" si="3"/>
        <v>-1999.9999998527901</v>
      </c>
    </row>
    <row r="44" spans="1:8" x14ac:dyDescent="0.3">
      <c r="A44" s="30">
        <v>40725</v>
      </c>
      <c r="B44">
        <v>1.8180000000000001</v>
      </c>
      <c r="D44">
        <v>33</v>
      </c>
      <c r="E44" s="38">
        <f t="shared" si="0"/>
        <v>-1999.9999998527901</v>
      </c>
      <c r="F44">
        <f t="shared" si="1"/>
        <v>-824.78697582015593</v>
      </c>
      <c r="G44">
        <f t="shared" si="2"/>
        <v>-1175.2130240326342</v>
      </c>
      <c r="H44">
        <f t="shared" si="3"/>
        <v>-1999.9999998527901</v>
      </c>
    </row>
    <row r="45" spans="1:8" x14ac:dyDescent="0.3">
      <c r="A45" s="30">
        <v>40756</v>
      </c>
      <c r="B45">
        <v>1.7549999999999999</v>
      </c>
      <c r="D45">
        <v>34</v>
      </c>
      <c r="E45" s="38">
        <f t="shared" si="0"/>
        <v>-1999.9999998527901</v>
      </c>
      <c r="F45">
        <f t="shared" si="1"/>
        <v>-828.30685757156084</v>
      </c>
      <c r="G45">
        <f t="shared" si="2"/>
        <v>-1171.6931422812293</v>
      </c>
      <c r="H45">
        <f t="shared" si="3"/>
        <v>-1999.9999998527901</v>
      </c>
    </row>
    <row r="46" spans="1:8" x14ac:dyDescent="0.3">
      <c r="A46" s="30">
        <v>40787</v>
      </c>
      <c r="B46">
        <v>1.736</v>
      </c>
      <c r="D46">
        <v>35</v>
      </c>
      <c r="E46" s="38">
        <f t="shared" si="0"/>
        <v>-1999.9999998527901</v>
      </c>
      <c r="F46">
        <f t="shared" si="1"/>
        <v>-831.84176085932245</v>
      </c>
      <c r="G46">
        <f t="shared" si="2"/>
        <v>-1168.1582389934676</v>
      </c>
      <c r="H46">
        <f t="shared" si="3"/>
        <v>-1999.9999998527901</v>
      </c>
    </row>
    <row r="47" spans="1:8" x14ac:dyDescent="0.3">
      <c r="A47" s="30">
        <v>40817</v>
      </c>
      <c r="B47">
        <v>1.776</v>
      </c>
      <c r="D47">
        <v>36</v>
      </c>
      <c r="E47" s="38">
        <f t="shared" si="0"/>
        <v>-1999.9999998527901</v>
      </c>
      <c r="F47">
        <f t="shared" si="1"/>
        <v>-835.3917497897296</v>
      </c>
      <c r="G47">
        <f t="shared" si="2"/>
        <v>-1164.6082500630605</v>
      </c>
      <c r="H47">
        <f t="shared" si="3"/>
        <v>-1999.9999998527901</v>
      </c>
    </row>
    <row r="48" spans="1:8" x14ac:dyDescent="0.3">
      <c r="A48" s="30">
        <v>40848</v>
      </c>
      <c r="B48">
        <v>1.706</v>
      </c>
      <c r="D48">
        <v>37</v>
      </c>
      <c r="E48" s="38">
        <f t="shared" si="0"/>
        <v>-1999.9999998527901</v>
      </c>
      <c r="F48">
        <f t="shared" si="1"/>
        <v>-838.95688874265159</v>
      </c>
      <c r="G48">
        <f t="shared" si="2"/>
        <v>-1161.0431111101384</v>
      </c>
      <c r="H48">
        <f t="shared" si="3"/>
        <v>-1999.9999998527901</v>
      </c>
    </row>
    <row r="49" spans="1:8" x14ac:dyDescent="0.3">
      <c r="A49" s="30">
        <v>40878</v>
      </c>
      <c r="B49">
        <v>1.671</v>
      </c>
      <c r="D49">
        <v>38</v>
      </c>
      <c r="E49" s="38">
        <f t="shared" si="0"/>
        <v>-1999.9999998527901</v>
      </c>
      <c r="F49">
        <f t="shared" si="1"/>
        <v>-842.53724237270785</v>
      </c>
      <c r="G49">
        <f t="shared" si="2"/>
        <v>-1157.4627574800822</v>
      </c>
      <c r="H49">
        <f t="shared" si="3"/>
        <v>-1999.9999998527901</v>
      </c>
    </row>
    <row r="50" spans="1:8" x14ac:dyDescent="0.3">
      <c r="A50" s="30">
        <v>40909</v>
      </c>
      <c r="B50">
        <v>1.5049999999999999</v>
      </c>
      <c r="D50">
        <v>39</v>
      </c>
      <c r="E50" s="38">
        <f t="shared" si="0"/>
        <v>-1999.9999998527901</v>
      </c>
      <c r="F50">
        <f t="shared" si="1"/>
        <v>-846.13287561043933</v>
      </c>
      <c r="G50">
        <f t="shared" si="2"/>
        <v>-1153.8671242423507</v>
      </c>
      <c r="H50">
        <f t="shared" si="3"/>
        <v>-1999.9999998527901</v>
      </c>
    </row>
    <row r="51" spans="1:8" x14ac:dyDescent="0.3">
      <c r="A51" s="30">
        <v>40940</v>
      </c>
      <c r="B51">
        <v>1.345</v>
      </c>
      <c r="D51">
        <v>40</v>
      </c>
      <c r="E51" s="38">
        <f t="shared" si="0"/>
        <v>-1999.9999998527901</v>
      </c>
      <c r="F51">
        <f t="shared" si="1"/>
        <v>-849.74385366348565</v>
      </c>
      <c r="G51">
        <f t="shared" si="2"/>
        <v>-1150.2561461893044</v>
      </c>
      <c r="H51">
        <f t="shared" si="3"/>
        <v>-1999.9999998527901</v>
      </c>
    </row>
    <row r="52" spans="1:8" x14ac:dyDescent="0.3">
      <c r="A52" s="30">
        <v>40969</v>
      </c>
      <c r="B52">
        <v>1.1639999999999999</v>
      </c>
      <c r="D52">
        <v>41</v>
      </c>
      <c r="E52" s="38">
        <f t="shared" si="0"/>
        <v>-1999.9999998527901</v>
      </c>
      <c r="F52">
        <f t="shared" si="1"/>
        <v>-853.37024201776887</v>
      </c>
      <c r="G52">
        <f t="shared" si="2"/>
        <v>-1146.6297578350213</v>
      </c>
      <c r="H52">
        <f t="shared" si="3"/>
        <v>-1999.9999998527901</v>
      </c>
    </row>
    <row r="53" spans="1:8" x14ac:dyDescent="0.3">
      <c r="A53" s="30">
        <v>41000</v>
      </c>
      <c r="B53">
        <v>1.04</v>
      </c>
      <c r="D53">
        <v>42</v>
      </c>
      <c r="E53" s="38">
        <f t="shared" si="0"/>
        <v>-1999.9999998527901</v>
      </c>
      <c r="F53">
        <f t="shared" si="1"/>
        <v>-857.01210643868023</v>
      </c>
      <c r="G53">
        <f t="shared" si="2"/>
        <v>-1142.9878934141097</v>
      </c>
      <c r="H53">
        <f t="shared" si="3"/>
        <v>-1999.9999998527901</v>
      </c>
    </row>
    <row r="54" spans="1:8" x14ac:dyDescent="0.3">
      <c r="A54" s="30">
        <v>41030</v>
      </c>
      <c r="B54">
        <v>0.97</v>
      </c>
      <c r="D54">
        <v>43</v>
      </c>
      <c r="E54" s="38">
        <f t="shared" si="0"/>
        <v>-1999.9999998527901</v>
      </c>
      <c r="F54">
        <f t="shared" si="1"/>
        <v>-860.66951297227274</v>
      </c>
      <c r="G54">
        <f t="shared" si="2"/>
        <v>-1139.3304868805174</v>
      </c>
      <c r="H54">
        <f t="shared" si="3"/>
        <v>-1999.9999998527901</v>
      </c>
    </row>
    <row r="55" spans="1:8" x14ac:dyDescent="0.3">
      <c r="A55" s="30">
        <v>41061</v>
      </c>
      <c r="B55">
        <v>0.93500000000000005</v>
      </c>
      <c r="D55">
        <v>44</v>
      </c>
      <c r="E55" s="38">
        <f t="shared" si="0"/>
        <v>-1999.9999998527901</v>
      </c>
      <c r="F55">
        <f t="shared" si="1"/>
        <v>-864.34252794645977</v>
      </c>
      <c r="G55">
        <f t="shared" si="2"/>
        <v>-1135.6574719063303</v>
      </c>
      <c r="H55">
        <f t="shared" si="3"/>
        <v>-1999.9999998527901</v>
      </c>
    </row>
    <row r="56" spans="1:8" x14ac:dyDescent="0.3">
      <c r="A56" s="30">
        <v>41091</v>
      </c>
      <c r="B56">
        <v>0.77900000000000003</v>
      </c>
      <c r="D56">
        <v>45</v>
      </c>
      <c r="E56" s="38">
        <f t="shared" si="0"/>
        <v>-1999.9999998527901</v>
      </c>
      <c r="F56">
        <f t="shared" si="1"/>
        <v>-868.03121797221672</v>
      </c>
      <c r="G56">
        <f t="shared" si="2"/>
        <v>-1131.9687818805733</v>
      </c>
      <c r="H56">
        <f t="shared" si="3"/>
        <v>-1999.9999998527901</v>
      </c>
    </row>
    <row r="57" spans="1:8" x14ac:dyDescent="0.3">
      <c r="A57" s="30">
        <v>41122</v>
      </c>
      <c r="B57">
        <v>0.60599999999999998</v>
      </c>
      <c r="D57">
        <v>46</v>
      </c>
      <c r="E57" s="38">
        <f t="shared" si="0"/>
        <v>-1999.9999998527901</v>
      </c>
      <c r="F57">
        <f t="shared" si="1"/>
        <v>-871.73564994479011</v>
      </c>
      <c r="G57">
        <f t="shared" si="2"/>
        <v>-1128.264349908</v>
      </c>
      <c r="H57">
        <f t="shared" si="3"/>
        <v>-1999.9999998527901</v>
      </c>
    </row>
    <row r="58" spans="1:8" x14ac:dyDescent="0.3">
      <c r="A58" s="30">
        <v>41153</v>
      </c>
      <c r="B58">
        <v>0.48400000000000004</v>
      </c>
      <c r="D58">
        <v>47</v>
      </c>
      <c r="E58" s="38">
        <f t="shared" si="0"/>
        <v>-1999.9999998527901</v>
      </c>
      <c r="F58">
        <f t="shared" si="1"/>
        <v>-875.45589104491023</v>
      </c>
      <c r="G58">
        <f t="shared" si="2"/>
        <v>-1124.5441088078799</v>
      </c>
      <c r="H58">
        <f t="shared" si="3"/>
        <v>-1999.9999998527901</v>
      </c>
    </row>
    <row r="59" spans="1:8" x14ac:dyDescent="0.3">
      <c r="A59" s="30">
        <v>41183</v>
      </c>
      <c r="B59">
        <v>0.41199999999999998</v>
      </c>
      <c r="D59">
        <v>48</v>
      </c>
      <c r="E59" s="38">
        <f t="shared" si="0"/>
        <v>-1999.9999998527901</v>
      </c>
      <c r="F59">
        <f t="shared" si="1"/>
        <v>-879.19200874000944</v>
      </c>
      <c r="G59">
        <f t="shared" si="2"/>
        <v>-1120.8079911127807</v>
      </c>
      <c r="H59">
        <f t="shared" si="3"/>
        <v>-1999.9999998527901</v>
      </c>
    </row>
    <row r="60" spans="1:8" x14ac:dyDescent="0.3">
      <c r="A60" s="30">
        <v>41214</v>
      </c>
      <c r="B60">
        <v>0.36</v>
      </c>
      <c r="D60">
        <v>49</v>
      </c>
      <c r="E60" s="38">
        <f t="shared" si="0"/>
        <v>-1999.9999998527901</v>
      </c>
      <c r="F60">
        <f t="shared" si="1"/>
        <v>-882.94407078544577</v>
      </c>
      <c r="G60">
        <f t="shared" si="2"/>
        <v>-1117.0559290673443</v>
      </c>
      <c r="H60">
        <f t="shared" si="3"/>
        <v>-1999.9999998527901</v>
      </c>
    </row>
    <row r="61" spans="1:8" x14ac:dyDescent="0.3">
      <c r="A61" s="30">
        <v>41244</v>
      </c>
      <c r="B61">
        <v>0.32400000000000001</v>
      </c>
      <c r="D61">
        <v>50</v>
      </c>
      <c r="E61" s="38">
        <f t="shared" si="0"/>
        <v>-1999.9999998527901</v>
      </c>
      <c r="F61">
        <f t="shared" si="1"/>
        <v>-886.712145225732</v>
      </c>
      <c r="G61">
        <f t="shared" si="2"/>
        <v>-1113.2878546270581</v>
      </c>
      <c r="H61">
        <f t="shared" si="3"/>
        <v>-1999.9999998527901</v>
      </c>
    </row>
    <row r="62" spans="1:8" x14ac:dyDescent="0.3">
      <c r="A62" s="30">
        <v>41275</v>
      </c>
      <c r="B62">
        <v>0.34399999999999997</v>
      </c>
      <c r="D62">
        <v>51</v>
      </c>
      <c r="E62" s="38">
        <f t="shared" si="0"/>
        <v>-1999.9999998527901</v>
      </c>
      <c r="F62">
        <f t="shared" si="1"/>
        <v>-890.49630039576948</v>
      </c>
      <c r="G62">
        <f t="shared" si="2"/>
        <v>-1109.5036994570205</v>
      </c>
      <c r="H62">
        <f t="shared" si="3"/>
        <v>-1999.9999998527901</v>
      </c>
    </row>
    <row r="63" spans="1:8" x14ac:dyDescent="0.3">
      <c r="A63" s="30">
        <v>41306</v>
      </c>
      <c r="B63">
        <v>0.36199999999999999</v>
      </c>
      <c r="D63">
        <v>52</v>
      </c>
      <c r="E63" s="38">
        <f t="shared" si="0"/>
        <v>-1999.9999998527901</v>
      </c>
      <c r="F63">
        <f t="shared" si="1"/>
        <v>-894.29660492208654</v>
      </c>
      <c r="G63">
        <f t="shared" si="2"/>
        <v>-1105.7033949307036</v>
      </c>
      <c r="H63">
        <f t="shared" si="3"/>
        <v>-1999.9999998527901</v>
      </c>
    </row>
    <row r="64" spans="1:8" x14ac:dyDescent="0.3">
      <c r="A64" s="30">
        <v>41334</v>
      </c>
      <c r="B64">
        <v>0.32900000000000001</v>
      </c>
      <c r="D64">
        <v>53</v>
      </c>
      <c r="E64" s="38">
        <f t="shared" si="0"/>
        <v>-1999.9999998527901</v>
      </c>
      <c r="F64">
        <f t="shared" si="1"/>
        <v>-898.11312772408485</v>
      </c>
      <c r="G64">
        <f t="shared" si="2"/>
        <v>-1101.8868721287054</v>
      </c>
      <c r="H64">
        <f t="shared" si="3"/>
        <v>-1999.9999998527901</v>
      </c>
    </row>
    <row r="65" spans="1:8" x14ac:dyDescent="0.3">
      <c r="A65" s="30">
        <v>41365</v>
      </c>
      <c r="B65">
        <v>0.32400000000000001</v>
      </c>
      <c r="D65">
        <v>54</v>
      </c>
      <c r="E65" s="38">
        <f t="shared" si="0"/>
        <v>-1999.9999998527901</v>
      </c>
      <c r="F65">
        <f t="shared" si="1"/>
        <v>-901.94593801528731</v>
      </c>
      <c r="G65">
        <f t="shared" si="2"/>
        <v>-1098.0540618375028</v>
      </c>
      <c r="H65">
        <f t="shared" si="3"/>
        <v>-1999.9999998527901</v>
      </c>
    </row>
    <row r="66" spans="1:8" x14ac:dyDescent="0.3">
      <c r="A66" s="30">
        <v>41395</v>
      </c>
      <c r="B66">
        <v>0.29899999999999999</v>
      </c>
      <c r="D66">
        <v>55</v>
      </c>
      <c r="E66" s="38">
        <f t="shared" si="0"/>
        <v>-1999.9999998527901</v>
      </c>
      <c r="F66">
        <f t="shared" si="1"/>
        <v>-905.79510530459527</v>
      </c>
      <c r="G66">
        <f t="shared" si="2"/>
        <v>-1094.2048945481947</v>
      </c>
      <c r="H66">
        <f t="shared" si="3"/>
        <v>-1999.9999998527901</v>
      </c>
    </row>
    <row r="67" spans="1:8" x14ac:dyDescent="0.3">
      <c r="A67" s="30">
        <v>41426</v>
      </c>
      <c r="B67">
        <v>0.32100000000000001</v>
      </c>
      <c r="D67">
        <v>56</v>
      </c>
      <c r="E67" s="38">
        <f t="shared" si="0"/>
        <v>-1999.9999998527901</v>
      </c>
      <c r="F67">
        <f t="shared" si="1"/>
        <v>-909.66069939754652</v>
      </c>
      <c r="G67">
        <f t="shared" si="2"/>
        <v>-1090.3393004552436</v>
      </c>
      <c r="H67">
        <f t="shared" si="3"/>
        <v>-1999.9999998527901</v>
      </c>
    </row>
    <row r="68" spans="1:8" x14ac:dyDescent="0.3">
      <c r="A68" s="30">
        <v>41456</v>
      </c>
      <c r="B68">
        <v>0.33600000000000002</v>
      </c>
      <c r="D68">
        <v>57</v>
      </c>
      <c r="E68" s="38">
        <f t="shared" si="0"/>
        <v>-1999.9999998527901</v>
      </c>
      <c r="F68">
        <f t="shared" si="1"/>
        <v>-913.54279039758433</v>
      </c>
      <c r="G68">
        <f t="shared" si="2"/>
        <v>-1086.4572094552059</v>
      </c>
      <c r="H68">
        <f t="shared" si="3"/>
        <v>-1999.9999998527901</v>
      </c>
    </row>
    <row r="69" spans="1:8" x14ac:dyDescent="0.3">
      <c r="A69" s="30">
        <v>41487</v>
      </c>
      <c r="B69">
        <v>0.34200000000000003</v>
      </c>
      <c r="D69">
        <v>58</v>
      </c>
      <c r="E69" s="38">
        <f t="shared" si="0"/>
        <v>-1999.9999998527901</v>
      </c>
      <c r="F69">
        <f t="shared" si="1"/>
        <v>-917.44144870732612</v>
      </c>
      <c r="G69">
        <f t="shared" si="2"/>
        <v>-1082.558551145464</v>
      </c>
      <c r="H69">
        <f t="shared" si="3"/>
        <v>-1999.9999998527901</v>
      </c>
    </row>
    <row r="70" spans="1:8" x14ac:dyDescent="0.3">
      <c r="A70" s="30">
        <v>41518</v>
      </c>
      <c r="B70">
        <v>0.34</v>
      </c>
      <c r="D70">
        <v>59</v>
      </c>
      <c r="E70" s="38">
        <f t="shared" si="0"/>
        <v>-1999.9999998527901</v>
      </c>
      <c r="F70">
        <f t="shared" si="1"/>
        <v>-921.35674502984193</v>
      </c>
      <c r="G70">
        <f t="shared" si="2"/>
        <v>-1078.6432548229482</v>
      </c>
      <c r="H70">
        <f t="shared" si="3"/>
        <v>-1999.9999998527901</v>
      </c>
    </row>
    <row r="71" spans="1:8" x14ac:dyDescent="0.3">
      <c r="A71" s="30">
        <v>41548</v>
      </c>
      <c r="B71">
        <v>0.34200000000000003</v>
      </c>
      <c r="D71">
        <v>60</v>
      </c>
      <c r="E71" s="38">
        <f t="shared" si="0"/>
        <v>-1999.9999998527901</v>
      </c>
      <c r="F71">
        <f t="shared" si="1"/>
        <v>-925.28875036993543</v>
      </c>
      <c r="G71">
        <f t="shared" si="2"/>
        <v>-1074.7112494828548</v>
      </c>
      <c r="H71">
        <f t="shared" si="3"/>
        <v>-1999.9999998527901</v>
      </c>
    </row>
    <row r="72" spans="1:8" x14ac:dyDescent="0.3">
      <c r="A72" s="30">
        <v>41579</v>
      </c>
      <c r="B72">
        <v>0.32700000000000001</v>
      </c>
      <c r="D72">
        <v>61</v>
      </c>
      <c r="E72" s="38">
        <f t="shared" si="0"/>
        <v>-1999.9999998527901</v>
      </c>
      <c r="F72">
        <f t="shared" si="1"/>
        <v>-929.23753603543287</v>
      </c>
      <c r="G72">
        <f t="shared" si="2"/>
        <v>-1070.7624638173572</v>
      </c>
      <c r="H72">
        <f t="shared" si="3"/>
        <v>-1999.9999998527901</v>
      </c>
    </row>
    <row r="73" spans="1:8" x14ac:dyDescent="0.3">
      <c r="A73" s="30">
        <v>41609</v>
      </c>
      <c r="B73">
        <v>0.371</v>
      </c>
      <c r="D73">
        <v>62</v>
      </c>
      <c r="E73" s="38">
        <f t="shared" si="0"/>
        <v>-1999.9999998527901</v>
      </c>
      <c r="F73">
        <f t="shared" si="1"/>
        <v>-933.20317363847482</v>
      </c>
      <c r="G73">
        <f t="shared" si="2"/>
        <v>-1066.7968262143154</v>
      </c>
      <c r="H73">
        <f t="shared" si="3"/>
        <v>-1999.9999998527901</v>
      </c>
    </row>
    <row r="74" spans="1:8" x14ac:dyDescent="0.3">
      <c r="A74" s="30">
        <v>41640</v>
      </c>
      <c r="B74">
        <v>0.39600000000000002</v>
      </c>
      <c r="D74">
        <v>63</v>
      </c>
      <c r="E74" s="38">
        <f t="shared" si="0"/>
        <v>-1999.9999998527901</v>
      </c>
      <c r="F74">
        <f t="shared" si="1"/>
        <v>-937.1857350968163</v>
      </c>
      <c r="G74">
        <f t="shared" si="2"/>
        <v>-1062.8142647559739</v>
      </c>
      <c r="H74">
        <f t="shared" si="3"/>
        <v>-1999.9999998527901</v>
      </c>
    </row>
    <row r="75" spans="1:8" x14ac:dyDescent="0.3">
      <c r="A75" s="30">
        <v>41671</v>
      </c>
      <c r="B75">
        <v>0.38700000000000001</v>
      </c>
      <c r="D75">
        <v>64</v>
      </c>
      <c r="E75" s="38">
        <f t="shared" si="0"/>
        <v>-1999.9999998527901</v>
      </c>
      <c r="F75">
        <f t="shared" si="1"/>
        <v>-941.18529263513005</v>
      </c>
      <c r="G75">
        <f t="shared" si="2"/>
        <v>-1058.81470721766</v>
      </c>
      <c r="H75">
        <f t="shared" si="3"/>
        <v>-1999.9999998527901</v>
      </c>
    </row>
    <row r="76" spans="1:8" x14ac:dyDescent="0.3">
      <c r="A76" s="30">
        <v>41699</v>
      </c>
      <c r="B76">
        <v>0.40699999999999997</v>
      </c>
      <c r="D76">
        <v>65</v>
      </c>
      <c r="E76" s="38">
        <f t="shared" si="0"/>
        <v>-1999.9999998527901</v>
      </c>
      <c r="F76">
        <f t="shared" si="1"/>
        <v>-945.20191878631647</v>
      </c>
      <c r="G76">
        <f t="shared" si="2"/>
        <v>-1054.7980810664735</v>
      </c>
      <c r="H76">
        <f t="shared" si="3"/>
        <v>-1999.9999998527901</v>
      </c>
    </row>
    <row r="77" spans="1:8" x14ac:dyDescent="0.3">
      <c r="A77" s="30">
        <v>41730</v>
      </c>
      <c r="B77">
        <v>0.43</v>
      </c>
      <c r="D77">
        <v>66</v>
      </c>
      <c r="E77" s="38">
        <f t="shared" ref="E77:E140" si="4">PMT($E$9,$E$5,$E$2,0,0)</f>
        <v>-1999.9999998527901</v>
      </c>
      <c r="F77">
        <f t="shared" ref="F77:F140" si="5">CUMPRINC($E$9,$E$5,$E$2,D77,D77,0)</f>
        <v>-949.2356863928195</v>
      </c>
      <c r="G77">
        <f t="shared" ref="G77:G140" si="6">CUMIPMT($E$9,$E$5,$E$2,D77,D77,0)</f>
        <v>-1050.7643134599707</v>
      </c>
      <c r="H77">
        <f t="shared" ref="H77:H140" si="7">F77+G77</f>
        <v>-1999.9999998527901</v>
      </c>
    </row>
    <row r="78" spans="1:8" x14ac:dyDescent="0.3">
      <c r="A78" s="30">
        <v>41760</v>
      </c>
      <c r="B78">
        <v>0.41699999999999998</v>
      </c>
      <c r="D78">
        <v>67</v>
      </c>
      <c r="E78" s="38">
        <f t="shared" si="4"/>
        <v>-1999.9999998527901</v>
      </c>
      <c r="F78">
        <f t="shared" si="5"/>
        <v>-953.28666860794738</v>
      </c>
      <c r="G78">
        <f t="shared" si="6"/>
        <v>-1046.7133312448427</v>
      </c>
      <c r="H78">
        <f t="shared" si="7"/>
        <v>-1999.9999998527901</v>
      </c>
    </row>
    <row r="79" spans="1:8" x14ac:dyDescent="0.3">
      <c r="A79" s="30">
        <v>41791</v>
      </c>
      <c r="B79">
        <v>0.33300000000000002</v>
      </c>
      <c r="D79">
        <v>68</v>
      </c>
      <c r="E79" s="38">
        <f t="shared" si="4"/>
        <v>-1999.9999998527901</v>
      </c>
      <c r="F79">
        <f t="shared" si="5"/>
        <v>-957.35493889719896</v>
      </c>
      <c r="G79">
        <f t="shared" si="6"/>
        <v>-1042.6450609555911</v>
      </c>
      <c r="H79">
        <f t="shared" si="7"/>
        <v>-1999.9999998527901</v>
      </c>
    </row>
    <row r="80" spans="1:8" x14ac:dyDescent="0.3">
      <c r="A80" s="30">
        <v>41821</v>
      </c>
      <c r="B80">
        <v>0.30499999999999999</v>
      </c>
      <c r="D80">
        <v>69</v>
      </c>
      <c r="E80" s="38">
        <f t="shared" si="4"/>
        <v>-1999.9999998527901</v>
      </c>
      <c r="F80">
        <f t="shared" si="5"/>
        <v>-961.44057103959665</v>
      </c>
      <c r="G80">
        <f t="shared" si="6"/>
        <v>-1038.5594288131933</v>
      </c>
      <c r="H80">
        <f t="shared" si="7"/>
        <v>-1999.9999998527901</v>
      </c>
    </row>
    <row r="81" spans="1:8" x14ac:dyDescent="0.3">
      <c r="A81" s="30">
        <v>41852</v>
      </c>
      <c r="B81">
        <v>0.29199999999999998</v>
      </c>
      <c r="D81">
        <v>70</v>
      </c>
      <c r="E81" s="38">
        <f t="shared" si="4"/>
        <v>-1999.9999998527901</v>
      </c>
      <c r="F81">
        <f t="shared" si="5"/>
        <v>-965.54363912902363</v>
      </c>
      <c r="G81">
        <f t="shared" si="6"/>
        <v>-1034.4563607237665</v>
      </c>
      <c r="H81">
        <f t="shared" si="7"/>
        <v>-1999.9999998527901</v>
      </c>
    </row>
    <row r="82" spans="1:8" x14ac:dyDescent="0.3">
      <c r="A82" s="30">
        <v>41883</v>
      </c>
      <c r="B82">
        <v>0.2</v>
      </c>
      <c r="D82">
        <v>71</v>
      </c>
      <c r="E82" s="38">
        <f t="shared" si="4"/>
        <v>-1999.9999998527901</v>
      </c>
      <c r="F82">
        <f t="shared" si="5"/>
        <v>-969.66421757556861</v>
      </c>
      <c r="G82">
        <f t="shared" si="6"/>
        <v>-1030.3357822772214</v>
      </c>
      <c r="H82">
        <f t="shared" si="7"/>
        <v>-1999.9999998527901</v>
      </c>
    </row>
    <row r="83" spans="1:8" x14ac:dyDescent="0.3">
      <c r="A83" s="30">
        <v>41913</v>
      </c>
      <c r="B83">
        <v>0.184</v>
      </c>
      <c r="D83">
        <v>72</v>
      </c>
      <c r="E83" s="38">
        <f t="shared" si="4"/>
        <v>-1999.9999998527901</v>
      </c>
      <c r="F83">
        <f t="shared" si="5"/>
        <v>-973.80238110687401</v>
      </c>
      <c r="G83">
        <f t="shared" si="6"/>
        <v>-1026.1976187459161</v>
      </c>
      <c r="H83">
        <f t="shared" si="7"/>
        <v>-1999.9999998527901</v>
      </c>
    </row>
    <row r="84" spans="1:8" x14ac:dyDescent="0.3">
      <c r="A84" s="30">
        <v>41944</v>
      </c>
      <c r="B84">
        <v>0.182</v>
      </c>
      <c r="D84">
        <v>73</v>
      </c>
      <c r="E84" s="38">
        <f t="shared" si="4"/>
        <v>-1999.9999998527901</v>
      </c>
      <c r="F84">
        <f t="shared" si="5"/>
        <v>-977.95820476949234</v>
      </c>
      <c r="G84">
        <f t="shared" si="6"/>
        <v>-1022.0417950832978</v>
      </c>
      <c r="H84">
        <f t="shared" si="7"/>
        <v>-1999.9999998527901</v>
      </c>
    </row>
    <row r="85" spans="1:8" x14ac:dyDescent="0.3">
      <c r="A85" s="30">
        <v>41974</v>
      </c>
      <c r="B85">
        <v>0.17599999999999999</v>
      </c>
      <c r="D85">
        <v>74</v>
      </c>
      <c r="E85" s="38">
        <f t="shared" si="4"/>
        <v>-1999.9999998527901</v>
      </c>
      <c r="F85">
        <f t="shared" si="5"/>
        <v>-982.13176393024662</v>
      </c>
      <c r="G85">
        <f t="shared" si="6"/>
        <v>-1017.8682359225435</v>
      </c>
      <c r="H85">
        <f t="shared" si="7"/>
        <v>-1999.9999998527901</v>
      </c>
    </row>
    <row r="86" spans="1:8" x14ac:dyDescent="0.3">
      <c r="A86" s="30">
        <v>42005</v>
      </c>
      <c r="B86">
        <f>ROUND(0.152,10)</f>
        <v>0.152</v>
      </c>
      <c r="D86">
        <v>75</v>
      </c>
      <c r="E86" s="38">
        <f t="shared" si="4"/>
        <v>-1999.9999998527901</v>
      </c>
      <c r="F86">
        <f t="shared" si="5"/>
        <v>-986.32313427759721</v>
      </c>
      <c r="G86">
        <f t="shared" si="6"/>
        <v>-1013.6768655751929</v>
      </c>
      <c r="H86">
        <f t="shared" si="7"/>
        <v>-1999.9999998527901</v>
      </c>
    </row>
    <row r="87" spans="1:8" x14ac:dyDescent="0.3">
      <c r="A87" s="30">
        <v>42036</v>
      </c>
      <c r="B87">
        <f>ROUND(0.126,10)</f>
        <v>0.126</v>
      </c>
      <c r="D87">
        <v>76</v>
      </c>
      <c r="E87" s="38">
        <f t="shared" si="4"/>
        <v>-1999.9999998527901</v>
      </c>
      <c r="F87">
        <f t="shared" si="5"/>
        <v>-990.53239182301365</v>
      </c>
      <c r="G87">
        <f t="shared" si="6"/>
        <v>-1009.4676080297764</v>
      </c>
      <c r="H87">
        <f t="shared" si="7"/>
        <v>-1999.9999998527901</v>
      </c>
    </row>
    <row r="88" spans="1:8" x14ac:dyDescent="0.3">
      <c r="A88" s="30">
        <v>42064</v>
      </c>
      <c r="B88">
        <f>ROUND(0.097,10)</f>
        <v>9.7000000000000003E-2</v>
      </c>
      <c r="D88">
        <v>77</v>
      </c>
      <c r="E88" s="38">
        <f t="shared" si="4"/>
        <v>-1999.9999998527901</v>
      </c>
      <c r="F88">
        <f t="shared" si="5"/>
        <v>-994.75961290235534</v>
      </c>
      <c r="G88">
        <f t="shared" si="6"/>
        <v>-1005.2403869504348</v>
      </c>
      <c r="H88">
        <f t="shared" si="7"/>
        <v>-1999.9999998527901</v>
      </c>
    </row>
    <row r="89" spans="1:8" x14ac:dyDescent="0.3">
      <c r="A89" s="30">
        <v>42095</v>
      </c>
      <c r="B89">
        <f>ROUND(0.073,10)</f>
        <v>7.2999999999999995E-2</v>
      </c>
      <c r="D89">
        <v>78</v>
      </c>
      <c r="E89" s="38">
        <f t="shared" si="4"/>
        <v>-1999.9999998527901</v>
      </c>
      <c r="F89">
        <f t="shared" si="5"/>
        <v>-999.00487417725378</v>
      </c>
      <c r="G89">
        <f t="shared" si="6"/>
        <v>-1000.9951256755363</v>
      </c>
      <c r="H89">
        <f t="shared" si="7"/>
        <v>-1999.9999998527901</v>
      </c>
    </row>
    <row r="90" spans="1:8" x14ac:dyDescent="0.3">
      <c r="A90" s="30">
        <v>42125</v>
      </c>
      <c r="B90">
        <f>ROUND(0.057,10)</f>
        <v>5.7000000000000002E-2</v>
      </c>
      <c r="D90">
        <v>79</v>
      </c>
      <c r="E90" s="38">
        <f t="shared" si="4"/>
        <v>-1999.9999998527901</v>
      </c>
      <c r="F90">
        <f t="shared" si="5"/>
        <v>-1003.2682526365032</v>
      </c>
      <c r="G90">
        <f t="shared" si="6"/>
        <v>-996.73174721628686</v>
      </c>
      <c r="H90">
        <f t="shared" si="7"/>
        <v>-1999.9999998527901</v>
      </c>
    </row>
    <row r="91" spans="1:8" x14ac:dyDescent="0.3">
      <c r="A91" s="30">
        <v>42156</v>
      </c>
      <c r="B91">
        <f>ROUND(0.049,10)</f>
        <v>4.9000000000000002E-2</v>
      </c>
      <c r="D91">
        <v>80</v>
      </c>
      <c r="E91" s="38">
        <f t="shared" si="4"/>
        <v>-1999.9999998527901</v>
      </c>
      <c r="F91">
        <f t="shared" si="5"/>
        <v>-1007.5498255974579</v>
      </c>
      <c r="G91">
        <f t="shared" si="6"/>
        <v>-992.45017425533217</v>
      </c>
      <c r="H91">
        <f t="shared" si="7"/>
        <v>-1999.9999998527901</v>
      </c>
    </row>
    <row r="92" spans="1:8" x14ac:dyDescent="0.3">
      <c r="A92" s="30">
        <v>42186</v>
      </c>
      <c r="B92">
        <f>ROUND(0.049,10)</f>
        <v>4.9000000000000002E-2</v>
      </c>
      <c r="D92">
        <v>81</v>
      </c>
      <c r="E92" s="38">
        <f t="shared" si="4"/>
        <v>-1999.9999998527901</v>
      </c>
      <c r="F92">
        <f t="shared" si="5"/>
        <v>-1011.8496707074336</v>
      </c>
      <c r="G92">
        <f t="shared" si="6"/>
        <v>-988.15032914535652</v>
      </c>
      <c r="H92">
        <f t="shared" si="7"/>
        <v>-1999.9999998527901</v>
      </c>
    </row>
    <row r="93" spans="1:8" x14ac:dyDescent="0.3">
      <c r="A93" s="30">
        <v>42217</v>
      </c>
      <c r="B93">
        <f>ROUND(0.044,10)</f>
        <v>4.3999999999999997E-2</v>
      </c>
      <c r="D93">
        <v>82</v>
      </c>
      <c r="E93" s="38">
        <f t="shared" si="4"/>
        <v>-1999.9999998527901</v>
      </c>
      <c r="F93">
        <f t="shared" si="5"/>
        <v>-1016.167865945115</v>
      </c>
      <c r="G93">
        <f t="shared" si="6"/>
        <v>-983.83213390767514</v>
      </c>
      <c r="H93">
        <f t="shared" si="7"/>
        <v>-1999.9999998527901</v>
      </c>
    </row>
    <row r="94" spans="1:8" x14ac:dyDescent="0.3">
      <c r="A94" s="30">
        <v>42248</v>
      </c>
      <c r="B94">
        <f>ROUND(0.035,10)</f>
        <v>3.5000000000000003E-2</v>
      </c>
      <c r="D94">
        <v>83</v>
      </c>
      <c r="E94" s="38">
        <f t="shared" si="4"/>
        <v>-1999.9999998527901</v>
      </c>
      <c r="F94">
        <f t="shared" si="5"/>
        <v>-1020.5044896219714</v>
      </c>
      <c r="G94">
        <f t="shared" si="6"/>
        <v>-979.4955102308187</v>
      </c>
      <c r="H94">
        <f t="shared" si="7"/>
        <v>-1999.9999998527901</v>
      </c>
    </row>
    <row r="95" spans="1:8" x14ac:dyDescent="0.3">
      <c r="A95" s="30">
        <v>42278</v>
      </c>
      <c r="B95">
        <f>ROUND(0.02,10)</f>
        <v>0.02</v>
      </c>
      <c r="D95">
        <v>84</v>
      </c>
      <c r="E95" s="38">
        <f t="shared" si="4"/>
        <v>-1999.9999998527901</v>
      </c>
      <c r="F95">
        <f t="shared" si="5"/>
        <v>-1024.8596203836757</v>
      </c>
      <c r="G95">
        <f t="shared" si="6"/>
        <v>-975.14037946911435</v>
      </c>
      <c r="H95">
        <f t="shared" si="7"/>
        <v>-1999.9999998527901</v>
      </c>
    </row>
    <row r="96" spans="1:8" x14ac:dyDescent="0.3">
      <c r="A96" s="30">
        <v>42309</v>
      </c>
      <c r="B96">
        <f>ROUND(-0.015,10)</f>
        <v>-1.4999999999999999E-2</v>
      </c>
      <c r="D96">
        <v>85</v>
      </c>
      <c r="E96" s="38">
        <f t="shared" si="4"/>
        <v>-1999.9999998527901</v>
      </c>
      <c r="F96">
        <f t="shared" si="5"/>
        <v>-1029.2333372115311</v>
      </c>
      <c r="G96">
        <f t="shared" si="6"/>
        <v>-970.76666264125902</v>
      </c>
      <c r="H96">
        <f t="shared" si="7"/>
        <v>-1999.9999998527901</v>
      </c>
    </row>
    <row r="97" spans="1:8" x14ac:dyDescent="0.3">
      <c r="A97" s="30">
        <v>42339</v>
      </c>
      <c r="B97">
        <f>ROUND(-0.04,10)</f>
        <v>-0.04</v>
      </c>
      <c r="D97">
        <v>86</v>
      </c>
      <c r="E97" s="38">
        <f t="shared" si="4"/>
        <v>-1999.9999998527901</v>
      </c>
      <c r="F97">
        <f t="shared" si="5"/>
        <v>-1033.6257194239029</v>
      </c>
      <c r="G97">
        <f t="shared" si="6"/>
        <v>-966.37428042888723</v>
      </c>
      <c r="H97">
        <f t="shared" si="7"/>
        <v>-1999.9999998527901</v>
      </c>
    </row>
    <row r="98" spans="1:8" x14ac:dyDescent="0.3">
      <c r="A98" s="30">
        <v>42370</v>
      </c>
      <c r="B98">
        <f>ROUND(-0.061,10)</f>
        <v>-6.0999999999999999E-2</v>
      </c>
      <c r="D98">
        <v>87</v>
      </c>
      <c r="E98" s="38">
        <f t="shared" si="4"/>
        <v>-1999.9999998527901</v>
      </c>
      <c r="F98">
        <f t="shared" si="5"/>
        <v>-1038.0368466776588</v>
      </c>
      <c r="G98">
        <f t="shared" si="6"/>
        <v>-961.96315317513131</v>
      </c>
      <c r="H98">
        <f t="shared" si="7"/>
        <v>-1999.9999998527901</v>
      </c>
    </row>
    <row r="99" spans="1:8" x14ac:dyDescent="0.3">
      <c r="A99" s="30">
        <v>42401</v>
      </c>
      <c r="B99">
        <f>ROUND(-0.115,10)</f>
        <v>-0.115</v>
      </c>
      <c r="D99">
        <v>88</v>
      </c>
      <c r="E99" s="38">
        <f t="shared" si="4"/>
        <v>-1999.9999998527901</v>
      </c>
      <c r="F99">
        <f t="shared" si="5"/>
        <v>-1042.4667989696106</v>
      </c>
      <c r="G99">
        <f t="shared" si="6"/>
        <v>-957.53320088317946</v>
      </c>
      <c r="H99">
        <f t="shared" si="7"/>
        <v>-1999.9999998527901</v>
      </c>
    </row>
    <row r="100" spans="1:8" x14ac:dyDescent="0.3">
      <c r="A100" s="30">
        <v>42430</v>
      </c>
      <c r="B100">
        <f>ROUND(-0.134,10)</f>
        <v>-0.13400000000000001</v>
      </c>
      <c r="D100">
        <v>89</v>
      </c>
      <c r="E100" s="38">
        <f t="shared" si="4"/>
        <v>-1999.9999998527901</v>
      </c>
      <c r="F100">
        <f t="shared" si="5"/>
        <v>-1046.9156566379681</v>
      </c>
      <c r="G100">
        <f t="shared" si="6"/>
        <v>-953.08434321482196</v>
      </c>
      <c r="H100">
        <f t="shared" si="7"/>
        <v>-1999.9999998527901</v>
      </c>
    </row>
    <row r="101" spans="1:8" x14ac:dyDescent="0.3">
      <c r="A101" s="30">
        <v>42461</v>
      </c>
      <c r="B101">
        <f>ROUND(-0.138,10)</f>
        <v>-0.13800000000000001</v>
      </c>
      <c r="D101">
        <v>90</v>
      </c>
      <c r="E101" s="38">
        <f t="shared" si="4"/>
        <v>-1999.9999998527901</v>
      </c>
      <c r="F101">
        <f t="shared" si="5"/>
        <v>-1051.3835003637932</v>
      </c>
      <c r="G101">
        <f t="shared" si="6"/>
        <v>-948.61649948899685</v>
      </c>
      <c r="H101">
        <f t="shared" si="7"/>
        <v>-1999.9999998527901</v>
      </c>
    </row>
    <row r="102" spans="1:8" x14ac:dyDescent="0.3">
      <c r="A102" s="30">
        <v>42491</v>
      </c>
      <c r="B102">
        <f>ROUND(-0.145,10)</f>
        <v>-0.14499999999999999</v>
      </c>
      <c r="D102">
        <v>91</v>
      </c>
      <c r="E102" s="38">
        <f t="shared" si="4"/>
        <v>-1999.9999998527901</v>
      </c>
      <c r="F102">
        <f t="shared" si="5"/>
        <v>-1055.8704111724646</v>
      </c>
      <c r="G102">
        <f t="shared" si="6"/>
        <v>-944.12958868032547</v>
      </c>
      <c r="H102">
        <f t="shared" si="7"/>
        <v>-1999.9999998527901</v>
      </c>
    </row>
    <row r="103" spans="1:8" x14ac:dyDescent="0.3">
      <c r="A103" s="30">
        <v>42522</v>
      </c>
      <c r="B103">
        <f>ROUND(-0.162,10)</f>
        <v>-0.16200000000000001</v>
      </c>
      <c r="D103">
        <v>92</v>
      </c>
      <c r="E103" s="38">
        <f t="shared" si="4"/>
        <v>-1999.9999998527901</v>
      </c>
      <c r="F103">
        <f t="shared" si="5"/>
        <v>-1060.3764704351474</v>
      </c>
      <c r="G103">
        <f t="shared" si="6"/>
        <v>-939.62352941764266</v>
      </c>
      <c r="H103">
        <f t="shared" si="7"/>
        <v>-1999.9999998527901</v>
      </c>
    </row>
    <row r="104" spans="1:8" x14ac:dyDescent="0.3">
      <c r="A104" s="30">
        <v>42552</v>
      </c>
      <c r="B104">
        <f>ROUND(-0.188,10)</f>
        <v>-0.188</v>
      </c>
      <c r="D104">
        <v>93</v>
      </c>
      <c r="E104" s="38">
        <f t="shared" si="4"/>
        <v>-1999.9999998527901</v>
      </c>
      <c r="F104">
        <f t="shared" si="5"/>
        <v>-1064.9017598702681</v>
      </c>
      <c r="G104">
        <f t="shared" si="6"/>
        <v>-935.09823998252205</v>
      </c>
      <c r="H104">
        <f t="shared" si="7"/>
        <v>-1999.9999998527901</v>
      </c>
    </row>
    <row r="105" spans="1:8" x14ac:dyDescent="0.3">
      <c r="A105" s="30">
        <v>42583</v>
      </c>
      <c r="B105">
        <f>ROUND(-0.189,10)</f>
        <v>-0.189</v>
      </c>
      <c r="D105">
        <v>94</v>
      </c>
      <c r="E105" s="38">
        <f t="shared" si="4"/>
        <v>-1999.9999998527901</v>
      </c>
      <c r="F105">
        <f t="shared" si="5"/>
        <v>-1069.4463615449965</v>
      </c>
      <c r="G105">
        <f t="shared" si="6"/>
        <v>-930.55363830779356</v>
      </c>
      <c r="H105">
        <f t="shared" si="7"/>
        <v>-1999.9999998527901</v>
      </c>
    </row>
    <row r="106" spans="1:8" x14ac:dyDescent="0.3">
      <c r="A106" s="30">
        <v>42614</v>
      </c>
      <c r="B106">
        <f>ROUND(-0.199,10)</f>
        <v>-0.19900000000000001</v>
      </c>
      <c r="D106">
        <v>95</v>
      </c>
      <c r="E106" s="38">
        <f t="shared" si="4"/>
        <v>-1999.9999998527901</v>
      </c>
      <c r="F106">
        <f t="shared" si="5"/>
        <v>-1074.0103578767348</v>
      </c>
      <c r="G106">
        <f t="shared" si="6"/>
        <v>-925.98964197605528</v>
      </c>
      <c r="H106">
        <f t="shared" si="7"/>
        <v>-1999.9999998527901</v>
      </c>
    </row>
    <row r="107" spans="1:8" x14ac:dyDescent="0.3">
      <c r="A107" s="30">
        <v>42644</v>
      </c>
      <c r="B107">
        <f>ROUND(-0.207,10)</f>
        <v>-0.20699999999999999</v>
      </c>
      <c r="D107">
        <v>96</v>
      </c>
      <c r="E107" s="38">
        <f t="shared" si="4"/>
        <v>-1999.9999998527901</v>
      </c>
      <c r="F107">
        <f t="shared" si="5"/>
        <v>-1078.5938316346119</v>
      </c>
      <c r="G107">
        <f t="shared" si="6"/>
        <v>-921.40616821817821</v>
      </c>
      <c r="H107">
        <f t="shared" si="7"/>
        <v>-1999.9999998527901</v>
      </c>
    </row>
    <row r="108" spans="1:8" x14ac:dyDescent="0.3">
      <c r="A108" s="30">
        <v>42675</v>
      </c>
      <c r="B108">
        <f>ROUND(-0.215,10)</f>
        <v>-0.215</v>
      </c>
      <c r="D108">
        <v>97</v>
      </c>
      <c r="E108" s="38">
        <f t="shared" si="4"/>
        <v>-1999.9999998527901</v>
      </c>
      <c r="F108">
        <f t="shared" si="5"/>
        <v>-1083.1968659409831</v>
      </c>
      <c r="G108">
        <f t="shared" si="6"/>
        <v>-916.80313391180698</v>
      </c>
      <c r="H108">
        <f t="shared" si="7"/>
        <v>-1999.9999998527901</v>
      </c>
    </row>
    <row r="109" spans="1:8" x14ac:dyDescent="0.3">
      <c r="A109" s="30">
        <v>42705</v>
      </c>
      <c r="B109">
        <f>ROUND(-0.218,10)</f>
        <v>-0.218</v>
      </c>
      <c r="D109">
        <v>98</v>
      </c>
      <c r="E109" s="38">
        <f t="shared" si="4"/>
        <v>-1999.9999998527901</v>
      </c>
      <c r="F109">
        <f t="shared" si="5"/>
        <v>-1087.8195442729409</v>
      </c>
      <c r="G109">
        <f t="shared" si="6"/>
        <v>-912.18045557984919</v>
      </c>
      <c r="H109">
        <f t="shared" si="7"/>
        <v>-1999.9999998527901</v>
      </c>
    </row>
    <row r="110" spans="1:8" x14ac:dyDescent="0.3">
      <c r="A110" s="30">
        <v>42736</v>
      </c>
      <c r="B110">
        <f>ROUND(-0.236,10)</f>
        <v>-0.23599999999999999</v>
      </c>
      <c r="D110">
        <v>99</v>
      </c>
      <c r="E110" s="38">
        <f t="shared" si="4"/>
        <v>-1999.9999998527901</v>
      </c>
      <c r="F110">
        <f t="shared" si="5"/>
        <v>-1092.4619504638251</v>
      </c>
      <c r="G110">
        <f t="shared" si="6"/>
        <v>-907.53804938896496</v>
      </c>
      <c r="H110">
        <f t="shared" si="7"/>
        <v>-1999.9999998527901</v>
      </c>
    </row>
    <row r="111" spans="1:8" x14ac:dyDescent="0.3">
      <c r="A111" s="30">
        <v>42767</v>
      </c>
      <c r="B111">
        <f>ROUND(-0.241,10)</f>
        <v>-0.24099999999999999</v>
      </c>
      <c r="D111">
        <v>100</v>
      </c>
      <c r="E111" s="38">
        <f t="shared" si="4"/>
        <v>-1999.9999998527901</v>
      </c>
      <c r="F111">
        <f t="shared" si="5"/>
        <v>-1097.1241687047452</v>
      </c>
      <c r="G111">
        <f t="shared" si="6"/>
        <v>-902.87583114804488</v>
      </c>
      <c r="H111">
        <f t="shared" si="7"/>
        <v>-1999.9999998527901</v>
      </c>
    </row>
    <row r="112" spans="1:8" x14ac:dyDescent="0.3">
      <c r="A112" s="30">
        <v>42795</v>
      </c>
      <c r="B112">
        <f>ROUND(-0.241,10)</f>
        <v>-0.24099999999999999</v>
      </c>
      <c r="D112">
        <v>101</v>
      </c>
      <c r="E112" s="38">
        <f t="shared" si="4"/>
        <v>-1999.9999998527901</v>
      </c>
      <c r="F112">
        <f t="shared" si="5"/>
        <v>-1101.8062835461069</v>
      </c>
      <c r="G112">
        <f t="shared" si="6"/>
        <v>-898.1937163066832</v>
      </c>
      <c r="H112">
        <f t="shared" si="7"/>
        <v>-1999.9999998527901</v>
      </c>
    </row>
    <row r="113" spans="1:8" x14ac:dyDescent="0.3">
      <c r="A113" s="30">
        <v>42826</v>
      </c>
      <c r="B113">
        <f>ROUND(-0.246,10)</f>
        <v>-0.246</v>
      </c>
      <c r="D113">
        <v>102</v>
      </c>
      <c r="E113" s="38">
        <f t="shared" si="4"/>
        <v>-1999.9999998527901</v>
      </c>
      <c r="F113">
        <f t="shared" si="5"/>
        <v>-1106.508379899145</v>
      </c>
      <c r="G113">
        <f t="shared" si="6"/>
        <v>-893.49161995364511</v>
      </c>
      <c r="H113">
        <f t="shared" si="7"/>
        <v>-1999.9999998527901</v>
      </c>
    </row>
    <row r="114" spans="1:8" x14ac:dyDescent="0.3">
      <c r="A114" s="30">
        <v>42856</v>
      </c>
      <c r="B114">
        <f>ROUND(-0.251,10)</f>
        <v>-0.251</v>
      </c>
      <c r="D114">
        <v>103</v>
      </c>
      <c r="E114" s="38">
        <f t="shared" si="4"/>
        <v>-1999.9999998527901</v>
      </c>
      <c r="F114">
        <f t="shared" si="5"/>
        <v>-1111.230543037464</v>
      </c>
      <c r="G114">
        <f t="shared" si="6"/>
        <v>-888.76945681532607</v>
      </c>
      <c r="H114">
        <f t="shared" si="7"/>
        <v>-1999.9999998527901</v>
      </c>
    </row>
    <row r="115" spans="1:8" x14ac:dyDescent="0.3">
      <c r="A115" s="30">
        <v>42887</v>
      </c>
      <c r="B115">
        <f>ROUND(-0.267,10)</f>
        <v>-0.26700000000000002</v>
      </c>
      <c r="D115">
        <v>104</v>
      </c>
      <c r="E115" s="38">
        <f t="shared" si="4"/>
        <v>-1999.9999998527901</v>
      </c>
      <c r="F115">
        <f t="shared" si="5"/>
        <v>-1115.9728585985847</v>
      </c>
      <c r="G115">
        <f t="shared" si="6"/>
        <v>-884.02714125420539</v>
      </c>
      <c r="H115">
        <f t="shared" si="7"/>
        <v>-1999.9999998527901</v>
      </c>
    </row>
    <row r="116" spans="1:8" x14ac:dyDescent="0.3">
      <c r="A116" s="30">
        <v>42917</v>
      </c>
      <c r="B116">
        <f>ROUND(-0.273,10)</f>
        <v>-0.27300000000000002</v>
      </c>
      <c r="D116">
        <v>105</v>
      </c>
      <c r="E116" s="38">
        <f t="shared" si="4"/>
        <v>-1999.9999998527901</v>
      </c>
      <c r="F116">
        <f t="shared" si="5"/>
        <v>-1120.7354125854956</v>
      </c>
      <c r="G116">
        <f t="shared" si="6"/>
        <v>-879.26458726729447</v>
      </c>
      <c r="H116">
        <f t="shared" si="7"/>
        <v>-1999.9999998527901</v>
      </c>
    </row>
    <row r="117" spans="1:8" x14ac:dyDescent="0.3">
      <c r="A117" s="30">
        <v>42948</v>
      </c>
      <c r="B117">
        <f>ROUND(-0.272,10)</f>
        <v>-0.27200000000000002</v>
      </c>
      <c r="D117">
        <v>106</v>
      </c>
      <c r="E117" s="38">
        <f t="shared" si="4"/>
        <v>-1999.9999998527901</v>
      </c>
      <c r="F117">
        <f t="shared" si="5"/>
        <v>-1125.5182913682147</v>
      </c>
      <c r="G117">
        <f t="shared" si="6"/>
        <v>-874.48170848457539</v>
      </c>
      <c r="H117">
        <f t="shared" si="7"/>
        <v>-1999.9999998527901</v>
      </c>
    </row>
    <row r="118" spans="1:8" x14ac:dyDescent="0.3">
      <c r="A118" s="30">
        <v>42979</v>
      </c>
      <c r="B118">
        <f>ROUND(-0.273,10)</f>
        <v>-0.27300000000000002</v>
      </c>
      <c r="D118">
        <v>107</v>
      </c>
      <c r="E118" s="38">
        <f t="shared" si="4"/>
        <v>-1999.9999998527901</v>
      </c>
      <c r="F118">
        <f t="shared" si="5"/>
        <v>-1130.321581685354</v>
      </c>
      <c r="G118">
        <f t="shared" si="6"/>
        <v>-869.67841816743612</v>
      </c>
      <c r="H118">
        <f t="shared" si="7"/>
        <v>-1999.9999998527901</v>
      </c>
    </row>
    <row r="119" spans="1:8" x14ac:dyDescent="0.3">
      <c r="A119" s="30">
        <v>43009</v>
      </c>
      <c r="B119">
        <f>ROUND(-0.274,10)</f>
        <v>-0.27400000000000002</v>
      </c>
      <c r="D119">
        <v>108</v>
      </c>
      <c r="E119" s="38">
        <f t="shared" si="4"/>
        <v>-1999.9999998527901</v>
      </c>
      <c r="F119">
        <f t="shared" si="5"/>
        <v>-1135.1453706456941</v>
      </c>
      <c r="G119">
        <f t="shared" si="6"/>
        <v>-864.85462920709597</v>
      </c>
      <c r="H119">
        <f t="shared" si="7"/>
        <v>-1999.9999998527901</v>
      </c>
    </row>
    <row r="120" spans="1:8" x14ac:dyDescent="0.3">
      <c r="A120" s="30">
        <v>43040</v>
      </c>
      <c r="B120">
        <f>ROUND(-0.274,10)</f>
        <v>-0.27400000000000002</v>
      </c>
      <c r="D120">
        <v>109</v>
      </c>
      <c r="E120" s="38">
        <f t="shared" si="4"/>
        <v>-1999.9999998527901</v>
      </c>
      <c r="F120">
        <f t="shared" si="5"/>
        <v>-1139.9897457297632</v>
      </c>
      <c r="G120">
        <f t="shared" si="6"/>
        <v>-860.01025412302693</v>
      </c>
      <c r="H120">
        <f t="shared" si="7"/>
        <v>-1999.9999998527901</v>
      </c>
    </row>
    <row r="121" spans="1:8" x14ac:dyDescent="0.3">
      <c r="A121" s="30">
        <v>43070</v>
      </c>
      <c r="B121">
        <f>ROUND(-0.271,10)</f>
        <v>-0.27100000000000002</v>
      </c>
      <c r="D121">
        <v>110</v>
      </c>
      <c r="E121" s="38">
        <f t="shared" si="4"/>
        <v>-1999.9999998527901</v>
      </c>
      <c r="F121">
        <f t="shared" si="5"/>
        <v>-1144.854794791423</v>
      </c>
      <c r="G121">
        <f t="shared" si="6"/>
        <v>-855.14520506136705</v>
      </c>
      <c r="H121">
        <f t="shared" si="7"/>
        <v>-1999.9999998527901</v>
      </c>
    </row>
    <row r="122" spans="1:8" x14ac:dyDescent="0.3">
      <c r="A122" s="30">
        <v>43101</v>
      </c>
      <c r="B122">
        <f>ROUND(-0.274,10)</f>
        <v>-0.27400000000000002</v>
      </c>
      <c r="D122">
        <v>111</v>
      </c>
      <c r="E122" s="38">
        <f t="shared" si="4"/>
        <v>-1999.9999998527901</v>
      </c>
      <c r="F122">
        <f t="shared" si="5"/>
        <v>-1149.7406060594631</v>
      </c>
      <c r="G122">
        <f t="shared" si="6"/>
        <v>-850.25939379332704</v>
      </c>
      <c r="H122">
        <f t="shared" si="7"/>
        <v>-1999.9999998527901</v>
      </c>
    </row>
    <row r="123" spans="1:8" x14ac:dyDescent="0.3">
      <c r="A123" s="30">
        <v>43132</v>
      </c>
      <c r="B123">
        <f>ROUND(-0.275,10)</f>
        <v>-0.27500000000000002</v>
      </c>
      <c r="D123">
        <v>112</v>
      </c>
      <c r="E123" s="38">
        <f t="shared" si="4"/>
        <v>-1999.9999998527901</v>
      </c>
      <c r="F123">
        <f t="shared" si="5"/>
        <v>-1154.6472681392006</v>
      </c>
      <c r="G123">
        <f t="shared" si="6"/>
        <v>-845.35273171358949</v>
      </c>
      <c r="H123">
        <f t="shared" si="7"/>
        <v>-1999.9999998527901</v>
      </c>
    </row>
    <row r="124" spans="1:8" x14ac:dyDescent="0.3">
      <c r="A124" s="30">
        <v>43160</v>
      </c>
      <c r="B124">
        <f>ROUND(-0.271,10)</f>
        <v>-0.27100000000000002</v>
      </c>
      <c r="D124">
        <v>113</v>
      </c>
      <c r="E124" s="38">
        <f t="shared" si="4"/>
        <v>-1999.9999998527901</v>
      </c>
      <c r="F124">
        <f t="shared" si="5"/>
        <v>-1159.5748700140866</v>
      </c>
      <c r="G124">
        <f t="shared" si="6"/>
        <v>-840.42512983870347</v>
      </c>
      <c r="H124">
        <f t="shared" si="7"/>
        <v>-1999.9999998527901</v>
      </c>
    </row>
    <row r="125" spans="1:8" x14ac:dyDescent="0.3">
      <c r="A125" s="30">
        <v>43191</v>
      </c>
      <c r="B125">
        <f>ROUND(-0.27,10)</f>
        <v>-0.27</v>
      </c>
      <c r="D125">
        <v>114</v>
      </c>
      <c r="E125" s="38">
        <f t="shared" si="4"/>
        <v>-1999.9999998527901</v>
      </c>
      <c r="F125">
        <f t="shared" si="5"/>
        <v>-1164.52350104732</v>
      </c>
      <c r="G125">
        <f t="shared" si="6"/>
        <v>-835.4764988054701</v>
      </c>
      <c r="H125">
        <f t="shared" si="7"/>
        <v>-1999.9999998527901</v>
      </c>
    </row>
    <row r="126" spans="1:8" x14ac:dyDescent="0.3">
      <c r="A126" s="30">
        <v>43221</v>
      </c>
      <c r="B126">
        <f>ROUND(-0.27,10)</f>
        <v>-0.27</v>
      </c>
      <c r="D126">
        <v>115</v>
      </c>
      <c r="E126" s="38">
        <f t="shared" si="4"/>
        <v>-1999.9999998527901</v>
      </c>
      <c r="F126">
        <f t="shared" si="5"/>
        <v>-1169.4932509834691</v>
      </c>
      <c r="G126">
        <f t="shared" si="6"/>
        <v>-830.50674886932097</v>
      </c>
      <c r="H126">
        <f t="shared" si="7"/>
        <v>-1999.9999998527901</v>
      </c>
    </row>
    <row r="127" spans="1:8" x14ac:dyDescent="0.3">
      <c r="A127" s="30">
        <v>43252</v>
      </c>
      <c r="B127">
        <f>ROUND(-0.269,10)</f>
        <v>-0.26900000000000002</v>
      </c>
      <c r="D127">
        <v>116</v>
      </c>
      <c r="E127" s="38">
        <f t="shared" si="4"/>
        <v>-1999.9999998527901</v>
      </c>
      <c r="F127">
        <f t="shared" si="5"/>
        <v>-1174.4842099500977</v>
      </c>
      <c r="G127">
        <f t="shared" si="6"/>
        <v>-825.5157899026924</v>
      </c>
      <c r="H127">
        <f t="shared" si="7"/>
        <v>-1999.9999998527901</v>
      </c>
    </row>
    <row r="128" spans="1:8" x14ac:dyDescent="0.3">
      <c r="A128" s="30">
        <v>43282</v>
      </c>
      <c r="B128">
        <f>ROUND(-0.269,10)</f>
        <v>-0.26900000000000002</v>
      </c>
      <c r="D128">
        <v>117</v>
      </c>
      <c r="E128" s="38">
        <f t="shared" si="4"/>
        <v>-1999.9999998527901</v>
      </c>
      <c r="F128">
        <f t="shared" si="5"/>
        <v>-1179.4964684594006</v>
      </c>
      <c r="G128">
        <f t="shared" si="6"/>
        <v>-820.50353139338949</v>
      </c>
      <c r="H128">
        <f t="shared" si="7"/>
        <v>-1999.9999998527901</v>
      </c>
    </row>
    <row r="129" spans="1:8" x14ac:dyDescent="0.3">
      <c r="A129" s="30">
        <v>43313</v>
      </c>
      <c r="B129">
        <f>ROUND(-0.267,10)</f>
        <v>-0.26700000000000002</v>
      </c>
      <c r="D129">
        <v>118</v>
      </c>
      <c r="E129" s="38">
        <f t="shared" si="4"/>
        <v>-1999.9999998527901</v>
      </c>
      <c r="F129">
        <f t="shared" si="5"/>
        <v>-1184.5301174098447</v>
      </c>
      <c r="G129">
        <f t="shared" si="6"/>
        <v>-815.46988244294539</v>
      </c>
      <c r="H129">
        <f t="shared" si="7"/>
        <v>-1999.9999998527901</v>
      </c>
    </row>
    <row r="130" spans="1:8" x14ac:dyDescent="0.3">
      <c r="A130" s="30">
        <v>43344</v>
      </c>
      <c r="B130">
        <f>ROUND(-0.268,10)</f>
        <v>-0.26800000000000002</v>
      </c>
      <c r="D130">
        <v>119</v>
      </c>
      <c r="E130" s="38">
        <f t="shared" si="4"/>
        <v>-1999.9999998527901</v>
      </c>
      <c r="F130">
        <f t="shared" si="5"/>
        <v>-1189.5852480878168</v>
      </c>
      <c r="G130">
        <f t="shared" si="6"/>
        <v>-810.41475176497329</v>
      </c>
      <c r="H130">
        <f t="shared" si="7"/>
        <v>-1999.9999998527901</v>
      </c>
    </row>
    <row r="131" spans="1:8" x14ac:dyDescent="0.3">
      <c r="A131" s="30">
        <v>43374</v>
      </c>
      <c r="B131">
        <f>ROUND(-0.264,10)</f>
        <v>-0.26400000000000001</v>
      </c>
      <c r="D131">
        <v>120</v>
      </c>
      <c r="E131" s="38">
        <f t="shared" si="4"/>
        <v>-1999.9999998527901</v>
      </c>
      <c r="F131">
        <f t="shared" si="5"/>
        <v>-1194.6619521692814</v>
      </c>
      <c r="G131">
        <f t="shared" si="6"/>
        <v>-805.33804768350865</v>
      </c>
      <c r="H131">
        <f t="shared" si="7"/>
        <v>-1999.9999998527901</v>
      </c>
    </row>
    <row r="132" spans="1:8" x14ac:dyDescent="0.3">
      <c r="A132" s="30">
        <v>43405</v>
      </c>
      <c r="B132">
        <f>ROUND(-0.257,10)</f>
        <v>-0.25700000000000001</v>
      </c>
      <c r="D132">
        <v>121</v>
      </c>
      <c r="E132" s="38">
        <f t="shared" si="4"/>
        <v>-1999.9999998527901</v>
      </c>
      <c r="F132">
        <f t="shared" si="5"/>
        <v>-1199.7603217214405</v>
      </c>
      <c r="G132">
        <f t="shared" si="6"/>
        <v>-800.23967813134959</v>
      </c>
      <c r="H132">
        <f t="shared" si="7"/>
        <v>-1999.9999998527901</v>
      </c>
    </row>
    <row r="133" spans="1:8" x14ac:dyDescent="0.3">
      <c r="A133" s="30">
        <v>43435</v>
      </c>
      <c r="B133">
        <f>ROUND(-0.241,10)</f>
        <v>-0.24099999999999999</v>
      </c>
      <c r="D133">
        <v>122</v>
      </c>
      <c r="E133" s="38">
        <f t="shared" si="4"/>
        <v>-1999.9999998527901</v>
      </c>
      <c r="F133">
        <f t="shared" si="5"/>
        <v>-1204.8804492044039</v>
      </c>
      <c r="G133">
        <f t="shared" si="6"/>
        <v>-795.11955064838617</v>
      </c>
      <c r="H133">
        <f t="shared" si="7"/>
        <v>-1999.9999998527901</v>
      </c>
    </row>
    <row r="134" spans="1:8" x14ac:dyDescent="0.3">
      <c r="A134" s="30">
        <v>43466</v>
      </c>
      <c r="B134">
        <f>ROUND(-0.236,10)</f>
        <v>-0.23599999999999999</v>
      </c>
      <c r="D134">
        <v>123</v>
      </c>
      <c r="E134" s="38">
        <f t="shared" si="4"/>
        <v>-1999.9999998527901</v>
      </c>
      <c r="F134">
        <f t="shared" si="5"/>
        <v>-1210.022427472868</v>
      </c>
      <c r="G134">
        <f t="shared" si="6"/>
        <v>-789.97757237992209</v>
      </c>
      <c r="H134">
        <f t="shared" si="7"/>
        <v>-1999.9999998527901</v>
      </c>
    </row>
    <row r="135" spans="1:8" x14ac:dyDescent="0.3">
      <c r="A135" s="30">
        <v>43497</v>
      </c>
      <c r="B135">
        <f>ROUND(-0.232,10)</f>
        <v>-0.23200000000000001</v>
      </c>
      <c r="D135">
        <v>124</v>
      </c>
      <c r="E135" s="38">
        <f t="shared" si="4"/>
        <v>-1999.9999998527901</v>
      </c>
      <c r="F135">
        <f t="shared" si="5"/>
        <v>-1215.1863497777967</v>
      </c>
      <c r="G135">
        <f t="shared" si="6"/>
        <v>-784.81365007499335</v>
      </c>
      <c r="H135">
        <f t="shared" si="7"/>
        <v>-1999.9999998527901</v>
      </c>
    </row>
    <row r="136" spans="1:8" x14ac:dyDescent="0.3">
      <c r="A136" s="30">
        <v>43525</v>
      </c>
      <c r="B136">
        <f>ROUND(-0.23,10)</f>
        <v>-0.23</v>
      </c>
      <c r="D136">
        <v>125</v>
      </c>
      <c r="E136" s="38">
        <f t="shared" si="4"/>
        <v>-1999.9999998527901</v>
      </c>
      <c r="F136">
        <f t="shared" si="5"/>
        <v>-1220.3723097681157</v>
      </c>
      <c r="G136">
        <f t="shared" si="6"/>
        <v>-779.62769008467444</v>
      </c>
      <c r="H136">
        <f t="shared" si="7"/>
        <v>-1999.9999998527901</v>
      </c>
    </row>
    <row r="137" spans="1:8" x14ac:dyDescent="0.3">
      <c r="A137" s="30">
        <v>43556</v>
      </c>
      <c r="B137">
        <f>ROUND(-0.231,10)</f>
        <v>-0.23100000000000001</v>
      </c>
      <c r="D137">
        <v>126</v>
      </c>
      <c r="E137" s="38">
        <f t="shared" si="4"/>
        <v>-1999.9999998527901</v>
      </c>
      <c r="F137">
        <f t="shared" si="5"/>
        <v>-1225.5804014924076</v>
      </c>
      <c r="G137">
        <f t="shared" si="6"/>
        <v>-774.41959836038245</v>
      </c>
      <c r="H137">
        <f t="shared" si="7"/>
        <v>-1999.9999998527901</v>
      </c>
    </row>
    <row r="138" spans="1:8" x14ac:dyDescent="0.3">
      <c r="A138" s="30">
        <v>43586</v>
      </c>
      <c r="B138">
        <f>ROUND(-0.237,10)</f>
        <v>-0.23699999999999999</v>
      </c>
      <c r="D138">
        <v>127</v>
      </c>
      <c r="E138" s="38">
        <f t="shared" si="4"/>
        <v>-1999.9999998527901</v>
      </c>
      <c r="F138">
        <f t="shared" si="5"/>
        <v>-1230.8107194006204</v>
      </c>
      <c r="G138">
        <f t="shared" si="6"/>
        <v>-769.18928045216967</v>
      </c>
      <c r="H138">
        <f t="shared" si="7"/>
        <v>-1999.9999998527901</v>
      </c>
    </row>
    <row r="139" spans="1:8" x14ac:dyDescent="0.3">
      <c r="A139" s="30">
        <v>43617</v>
      </c>
      <c r="B139">
        <f>ROUND(-0.279,10)</f>
        <v>-0.27900000000000003</v>
      </c>
      <c r="D139">
        <v>128</v>
      </c>
      <c r="E139" s="38">
        <f t="shared" si="4"/>
        <v>-1999.9999998527901</v>
      </c>
      <c r="F139">
        <f t="shared" si="5"/>
        <v>-1236.0633583457784</v>
      </c>
      <c r="G139">
        <f t="shared" si="6"/>
        <v>-763.9366415070117</v>
      </c>
      <c r="H139">
        <f t="shared" si="7"/>
        <v>-1999.9999998527901</v>
      </c>
    </row>
    <row r="140" spans="1:8" x14ac:dyDescent="0.3">
      <c r="A140" s="30">
        <v>43647</v>
      </c>
      <c r="B140">
        <f>ROUND(-0.347,10)</f>
        <v>-0.34699999999999998</v>
      </c>
      <c r="D140">
        <v>129</v>
      </c>
      <c r="E140" s="38">
        <f t="shared" si="4"/>
        <v>-1999.9999998527901</v>
      </c>
      <c r="F140">
        <f t="shared" si="5"/>
        <v>-1241.3384135857029</v>
      </c>
      <c r="G140">
        <f t="shared" si="6"/>
        <v>-758.66158626708716</v>
      </c>
      <c r="H140">
        <f t="shared" si="7"/>
        <v>-1999.9999998527901</v>
      </c>
    </row>
    <row r="141" spans="1:8" x14ac:dyDescent="0.3">
      <c r="A141" s="30">
        <v>43678</v>
      </c>
      <c r="B141">
        <f>ROUND(-0.405,10)</f>
        <v>-0.40500000000000003</v>
      </c>
      <c r="D141">
        <v>130</v>
      </c>
      <c r="E141" s="38">
        <f t="shared" ref="E141:E204" si="8">PMT($E$9,$E$5,$E$2,0,0)</f>
        <v>-1999.9999998527901</v>
      </c>
      <c r="F141">
        <f t="shared" ref="F141:F204" si="9">CUMPRINC($E$9,$E$5,$E$2,D141,D141,0)</f>
        <v>-1246.6359807847407</v>
      </c>
      <c r="G141">
        <f t="shared" ref="G141:G204" si="10">CUMIPMT($E$9,$E$5,$E$2,D141,D141,0)</f>
        <v>-753.3640190680494</v>
      </c>
      <c r="H141">
        <f t="shared" ref="H141:H204" si="11">F141+G141</f>
        <v>-1999.9999998527901</v>
      </c>
    </row>
    <row r="142" spans="1:8" x14ac:dyDescent="0.3">
      <c r="A142" s="30">
        <v>43709</v>
      </c>
      <c r="B142">
        <f>ROUND(-0.394,10)</f>
        <v>-0.39400000000000002</v>
      </c>
      <c r="D142">
        <v>131</v>
      </c>
      <c r="E142" s="38">
        <f t="shared" si="8"/>
        <v>-1999.9999998527901</v>
      </c>
      <c r="F142">
        <f t="shared" si="9"/>
        <v>-1251.9561560154975</v>
      </c>
      <c r="G142">
        <f t="shared" si="10"/>
        <v>-748.04384383729257</v>
      </c>
      <c r="H142">
        <f t="shared" si="11"/>
        <v>-1999.9999998527901</v>
      </c>
    </row>
    <row r="143" spans="1:8" x14ac:dyDescent="0.3">
      <c r="A143" s="30">
        <v>43739</v>
      </c>
      <c r="B143">
        <f>ROUND(-0.362,10)</f>
        <v>-0.36199999999999999</v>
      </c>
      <c r="D143">
        <v>132</v>
      </c>
      <c r="E143" s="38">
        <f t="shared" si="8"/>
        <v>-1999.9999998527901</v>
      </c>
      <c r="F143">
        <f t="shared" si="9"/>
        <v>-1257.2990357605811</v>
      </c>
      <c r="G143">
        <f t="shared" si="10"/>
        <v>-742.70096409220901</v>
      </c>
      <c r="H143">
        <f t="shared" si="11"/>
        <v>-1999.9999998527901</v>
      </c>
    </row>
    <row r="144" spans="1:8" x14ac:dyDescent="0.3">
      <c r="A144" s="30">
        <v>43770</v>
      </c>
      <c r="B144">
        <f>ROUND(-0.337,10)</f>
        <v>-0.33700000000000002</v>
      </c>
      <c r="D144">
        <v>133</v>
      </c>
      <c r="E144" s="38">
        <f t="shared" si="8"/>
        <v>-1999.9999998527901</v>
      </c>
      <c r="F144">
        <f t="shared" si="9"/>
        <v>-1262.6647169143505</v>
      </c>
      <c r="G144">
        <f t="shared" si="10"/>
        <v>-737.3352829384396</v>
      </c>
      <c r="H144">
        <f t="shared" si="11"/>
        <v>-1999.9999998527901</v>
      </c>
    </row>
    <row r="145" spans="1:8" x14ac:dyDescent="0.3">
      <c r="A145" s="30">
        <v>43800</v>
      </c>
      <c r="B145">
        <v>-0.33600000000000002</v>
      </c>
      <c r="D145">
        <v>134</v>
      </c>
      <c r="E145" s="38">
        <f t="shared" si="8"/>
        <v>-1999.9999998527901</v>
      </c>
      <c r="F145">
        <f t="shared" si="9"/>
        <v>-1268.0532967846746</v>
      </c>
      <c r="G145">
        <f t="shared" si="10"/>
        <v>-731.94670306811554</v>
      </c>
      <c r="H145">
        <f t="shared" si="11"/>
        <v>-1999.9999998527901</v>
      </c>
    </row>
    <row r="146" spans="1:8" x14ac:dyDescent="0.3">
      <c r="A146" s="30">
        <v>43831</v>
      </c>
      <c r="B146">
        <f>ROUND(-0.33, 10)</f>
        <v>-0.33</v>
      </c>
      <c r="D146">
        <v>135</v>
      </c>
      <c r="E146" s="38">
        <f t="shared" si="8"/>
        <v>-1999.9999998527901</v>
      </c>
      <c r="F146">
        <f t="shared" si="9"/>
        <v>-1273.4648730946947</v>
      </c>
      <c r="G146">
        <f t="shared" si="10"/>
        <v>-726.53512675809543</v>
      </c>
      <c r="H146">
        <f t="shared" si="11"/>
        <v>-1999.9999998527901</v>
      </c>
    </row>
    <row r="147" spans="1:8" x14ac:dyDescent="0.3">
      <c r="A147" s="30">
        <v>43862</v>
      </c>
      <c r="B147">
        <f>ROUND(-0.355, 10)</f>
        <v>-0.35499999999999998</v>
      </c>
      <c r="D147">
        <v>136</v>
      </c>
      <c r="E147" s="38">
        <f t="shared" si="8"/>
        <v>-1999.9999998527901</v>
      </c>
      <c r="F147">
        <f t="shared" si="9"/>
        <v>-1278.8995439845983</v>
      </c>
      <c r="G147">
        <f t="shared" si="10"/>
        <v>-721.10045586819183</v>
      </c>
      <c r="H147">
        <f t="shared" si="11"/>
        <v>-1999.9999998527901</v>
      </c>
    </row>
    <row r="148" spans="1:8" x14ac:dyDescent="0.3">
      <c r="A148" s="30">
        <v>43891</v>
      </c>
      <c r="B148">
        <f>ROUND(-0.365, 10)</f>
        <v>-0.36499999999999999</v>
      </c>
      <c r="D148">
        <v>137</v>
      </c>
      <c r="E148" s="38">
        <f t="shared" si="8"/>
        <v>-1999.9999998527901</v>
      </c>
      <c r="F148">
        <f t="shared" si="9"/>
        <v>-1284.3574080133983</v>
      </c>
      <c r="G148">
        <f t="shared" si="10"/>
        <v>-715.6425918393918</v>
      </c>
      <c r="H148">
        <f t="shared" si="11"/>
        <v>-1999.9999998527901</v>
      </c>
    </row>
    <row r="149" spans="1:8" x14ac:dyDescent="0.3">
      <c r="A149" s="30">
        <v>43922</v>
      </c>
      <c r="B149">
        <f>ROUND(-0.192, 10)</f>
        <v>-0.192</v>
      </c>
      <c r="D149">
        <v>138</v>
      </c>
      <c r="E149" s="38">
        <f t="shared" si="8"/>
        <v>-1999.9999998527901</v>
      </c>
      <c r="F149">
        <f t="shared" si="9"/>
        <v>-1289.838564160721</v>
      </c>
      <c r="G149">
        <f t="shared" si="10"/>
        <v>-710.16143569206906</v>
      </c>
      <c r="H149">
        <f t="shared" si="11"/>
        <v>-1999.9999998527901</v>
      </c>
    </row>
    <row r="150" spans="1:8" x14ac:dyDescent="0.3">
      <c r="A150" s="30">
        <v>43952</v>
      </c>
      <c r="B150">
        <f>ROUND(-0.143, 10)</f>
        <v>-0.14299999999999999</v>
      </c>
      <c r="D150">
        <v>139</v>
      </c>
      <c r="E150" s="38">
        <f t="shared" si="8"/>
        <v>-1999.9999998527901</v>
      </c>
      <c r="F150">
        <f t="shared" si="9"/>
        <v>-1295.3431118285998</v>
      </c>
      <c r="G150">
        <f t="shared" si="10"/>
        <v>-704.65688802419027</v>
      </c>
      <c r="H150">
        <f t="shared" si="11"/>
        <v>-1999.9999998527901</v>
      </c>
    </row>
    <row r="151" spans="1:8" x14ac:dyDescent="0.3">
      <c r="A151" s="30">
        <v>43983</v>
      </c>
      <c r="B151">
        <f>ROUND(-0.223, 10)</f>
        <v>-0.223</v>
      </c>
      <c r="D151">
        <v>140</v>
      </c>
      <c r="E151" s="38">
        <f t="shared" si="8"/>
        <v>-1999.9999998527901</v>
      </c>
      <c r="F151">
        <f t="shared" si="9"/>
        <v>-1300.8711508432798</v>
      </c>
      <c r="G151">
        <f t="shared" si="10"/>
        <v>-699.1288490095103</v>
      </c>
      <c r="H151">
        <f t="shared" si="11"/>
        <v>-1999.9999998527901</v>
      </c>
    </row>
    <row r="152" spans="1:8" x14ac:dyDescent="0.3">
      <c r="A152" s="30">
        <v>44013</v>
      </c>
      <c r="B152">
        <f>ROUND(-0.346, 10)</f>
        <v>-0.34599999999999997</v>
      </c>
      <c r="D152">
        <v>141</v>
      </c>
      <c r="E152" s="38">
        <f t="shared" si="8"/>
        <v>-1999.9999998527901</v>
      </c>
      <c r="F152">
        <f t="shared" si="9"/>
        <v>-1306.4227814570263</v>
      </c>
      <c r="G152">
        <f t="shared" si="10"/>
        <v>-693.57721839576379</v>
      </c>
      <c r="H152">
        <f t="shared" si="11"/>
        <v>-1999.9999998527901</v>
      </c>
    </row>
    <row r="153" spans="1:8" x14ac:dyDescent="0.3">
      <c r="A153" s="30">
        <v>44044</v>
      </c>
      <c r="B153">
        <f>ROUND(-0.433, 10)</f>
        <v>-0.433</v>
      </c>
      <c r="D153">
        <v>142</v>
      </c>
      <c r="E153" s="38">
        <f t="shared" si="8"/>
        <v>-1999.9999998527901</v>
      </c>
      <c r="F153">
        <f t="shared" si="9"/>
        <v>-1311.998104349944</v>
      </c>
      <c r="G153">
        <f t="shared" si="10"/>
        <v>-688.00189550284608</v>
      </c>
      <c r="H153">
        <f t="shared" si="11"/>
        <v>-1999.9999998527901</v>
      </c>
    </row>
    <row r="154" spans="1:8" x14ac:dyDescent="0.3">
      <c r="A154" s="30">
        <v>44075</v>
      </c>
      <c r="B154">
        <f>ROUND(-0.463, 10)</f>
        <v>-0.46300000000000002</v>
      </c>
      <c r="D154">
        <v>143</v>
      </c>
      <c r="E154" s="38">
        <f t="shared" si="8"/>
        <v>-1999.9999998527901</v>
      </c>
      <c r="F154">
        <f t="shared" si="9"/>
        <v>-1317.5972206318024</v>
      </c>
      <c r="G154">
        <f t="shared" si="10"/>
        <v>-682.40277922098767</v>
      </c>
      <c r="H154">
        <f t="shared" si="11"/>
        <v>-1999.9999998527901</v>
      </c>
    </row>
    <row r="155" spans="1:8" x14ac:dyDescent="0.3">
      <c r="A155" s="30">
        <v>44105</v>
      </c>
      <c r="B155">
        <f>ROUND(-0.494, 10)</f>
        <v>-0.49399999999999999</v>
      </c>
      <c r="D155">
        <v>144</v>
      </c>
      <c r="E155" s="38">
        <f t="shared" si="8"/>
        <v>-1999.9999998527901</v>
      </c>
      <c r="F155">
        <f t="shared" si="9"/>
        <v>-1323.2202318438699</v>
      </c>
      <c r="G155">
        <f t="shared" si="10"/>
        <v>-676.7797680089202</v>
      </c>
      <c r="H155">
        <f t="shared" si="11"/>
        <v>-1999.9999998527901</v>
      </c>
    </row>
    <row r="156" spans="1:8" x14ac:dyDescent="0.3">
      <c r="A156" s="30">
        <v>44136</v>
      </c>
      <c r="B156">
        <f>ROUND(-0.509, 10)</f>
        <v>-0.50900000000000001</v>
      </c>
      <c r="D156">
        <v>145</v>
      </c>
      <c r="E156" s="38">
        <f t="shared" si="8"/>
        <v>-1999.9999998527901</v>
      </c>
      <c r="F156">
        <f t="shared" si="9"/>
        <v>-1328.8672399607547</v>
      </c>
      <c r="G156">
        <f t="shared" si="10"/>
        <v>-671.13275989203544</v>
      </c>
      <c r="H156">
        <f t="shared" si="11"/>
        <v>-1999.9999998527901</v>
      </c>
    </row>
    <row r="157" spans="1:8" x14ac:dyDescent="0.3">
      <c r="A157" s="30">
        <v>44166</v>
      </c>
      <c r="B157">
        <f>ROUND(-0.519, 10)</f>
        <v>-0.51900000000000002</v>
      </c>
      <c r="D157">
        <v>146</v>
      </c>
      <c r="E157" s="38">
        <f t="shared" si="8"/>
        <v>-1999.9999998527901</v>
      </c>
      <c r="F157">
        <f t="shared" si="9"/>
        <v>-1334.5383473922545</v>
      </c>
      <c r="G157">
        <f t="shared" si="10"/>
        <v>-665.46165246053556</v>
      </c>
      <c r="H157">
        <f t="shared" si="11"/>
        <v>-1999.9999998527901</v>
      </c>
    </row>
    <row r="158" spans="1:8" x14ac:dyDescent="0.3">
      <c r="A158" s="39">
        <v>44197</v>
      </c>
      <c r="B158" s="40">
        <v>-0.52849999999999997</v>
      </c>
      <c r="D158">
        <v>147</v>
      </c>
      <c r="E158" s="38">
        <f t="shared" si="8"/>
        <v>-1999.9999998527901</v>
      </c>
      <c r="F158">
        <f t="shared" si="9"/>
        <v>-1340.2336569852132</v>
      </c>
      <c r="G158">
        <f t="shared" si="10"/>
        <v>-659.7663428675769</v>
      </c>
      <c r="H158">
        <f t="shared" si="11"/>
        <v>-1999.9999998527901</v>
      </c>
    </row>
    <row r="159" spans="1:8" x14ac:dyDescent="0.3">
      <c r="A159" s="30">
        <v>44228</v>
      </c>
      <c r="B159" s="40">
        <v>-0.52049999999999996</v>
      </c>
      <c r="D159">
        <v>148</v>
      </c>
      <c r="E159" s="38">
        <f t="shared" si="8"/>
        <v>-1999.9999998527901</v>
      </c>
      <c r="F159">
        <f t="shared" si="9"/>
        <v>-1345.9532720253881</v>
      </c>
      <c r="G159">
        <f t="shared" si="10"/>
        <v>-654.04672782740204</v>
      </c>
      <c r="H159">
        <f t="shared" si="11"/>
        <v>-1999.9999998527901</v>
      </c>
    </row>
    <row r="160" spans="1:8" x14ac:dyDescent="0.3">
      <c r="A160" s="39">
        <v>44256</v>
      </c>
      <c r="B160" s="40">
        <v>-0.53120000000000001</v>
      </c>
      <c r="D160">
        <v>149</v>
      </c>
      <c r="E160" s="38">
        <f t="shared" si="8"/>
        <v>-1999.9999998527901</v>
      </c>
      <c r="F160">
        <f t="shared" si="9"/>
        <v>-1351.697296239319</v>
      </c>
      <c r="G160">
        <f t="shared" si="10"/>
        <v>-648.30270361347107</v>
      </c>
      <c r="H160">
        <f t="shared" si="11"/>
        <v>-1999.9999998527901</v>
      </c>
    </row>
    <row r="161" spans="1:8" x14ac:dyDescent="0.3">
      <c r="A161" s="30">
        <v>44287</v>
      </c>
      <c r="B161" s="40">
        <v>-0.51580000000000004</v>
      </c>
      <c r="D161">
        <v>150</v>
      </c>
      <c r="E161" s="38">
        <f t="shared" si="8"/>
        <v>-1999.9999998527901</v>
      </c>
      <c r="F161">
        <f t="shared" si="9"/>
        <v>-1357.4658337962142</v>
      </c>
      <c r="G161">
        <f t="shared" si="10"/>
        <v>-642.53416605657594</v>
      </c>
      <c r="H161">
        <f t="shared" si="11"/>
        <v>-1999.9999998527901</v>
      </c>
    </row>
    <row r="162" spans="1:8" x14ac:dyDescent="0.3">
      <c r="A162" s="39">
        <v>44317</v>
      </c>
      <c r="B162" s="40">
        <v>-0.51800000000000002</v>
      </c>
      <c r="D162">
        <v>151</v>
      </c>
      <c r="E162" s="38">
        <f t="shared" si="8"/>
        <v>-1999.9999998527901</v>
      </c>
      <c r="F162">
        <f t="shared" si="9"/>
        <v>-1363.258989309835</v>
      </c>
      <c r="G162">
        <f t="shared" si="10"/>
        <v>-636.74101054295511</v>
      </c>
      <c r="H162">
        <f t="shared" si="11"/>
        <v>-1999.9999998527901</v>
      </c>
    </row>
    <row r="163" spans="1:8" x14ac:dyDescent="0.3">
      <c r="A163" s="30">
        <v>44348</v>
      </c>
      <c r="B163" s="40">
        <v>-0.51500000000000001</v>
      </c>
      <c r="D163">
        <v>152</v>
      </c>
      <c r="E163" s="38">
        <f t="shared" si="8"/>
        <v>-1999.9999998527901</v>
      </c>
      <c r="F163">
        <f t="shared" si="9"/>
        <v>-1369.0768678403963</v>
      </c>
      <c r="G163">
        <f t="shared" si="10"/>
        <v>-630.92313201239381</v>
      </c>
      <c r="H163">
        <f t="shared" si="11"/>
        <v>-1999.9999998527901</v>
      </c>
    </row>
    <row r="164" spans="1:8" x14ac:dyDescent="0.3">
      <c r="A164" s="39">
        <v>44378</v>
      </c>
      <c r="B164" s="40">
        <v>-0.51600000000000001</v>
      </c>
      <c r="D164">
        <v>153</v>
      </c>
      <c r="E164" s="38">
        <f t="shared" si="8"/>
        <v>-1999.9999998527901</v>
      </c>
      <c r="F164">
        <f t="shared" si="9"/>
        <v>-1374.9195748964698</v>
      </c>
      <c r="G164">
        <f t="shared" si="10"/>
        <v>-625.08042495632026</v>
      </c>
      <c r="H164">
        <f t="shared" si="11"/>
        <v>-1999.9999998527901</v>
      </c>
    </row>
    <row r="165" spans="1:8" x14ac:dyDescent="0.3">
      <c r="A165" s="30">
        <v>44409</v>
      </c>
      <c r="B165" s="40">
        <v>-0.52739999999999998</v>
      </c>
      <c r="D165">
        <v>154</v>
      </c>
      <c r="E165" s="38">
        <f t="shared" si="8"/>
        <v>-1999.9999998527901</v>
      </c>
      <c r="F165">
        <f t="shared" si="9"/>
        <v>-1380.7872164368998</v>
      </c>
      <c r="G165">
        <f t="shared" si="10"/>
        <v>-619.21278341589027</v>
      </c>
      <c r="H165">
        <f t="shared" si="11"/>
        <v>-1999.9999998527901</v>
      </c>
    </row>
    <row r="166" spans="1:8" x14ac:dyDescent="0.3">
      <c r="A166" s="39">
        <v>44440</v>
      </c>
      <c r="B166" s="40">
        <v>-0.52239999999999998</v>
      </c>
      <c r="D166">
        <v>155</v>
      </c>
      <c r="E166" s="38">
        <f t="shared" si="8"/>
        <v>-1999.9999998527901</v>
      </c>
      <c r="F166">
        <f t="shared" si="9"/>
        <v>-1386.6798988727212</v>
      </c>
      <c r="G166">
        <f t="shared" si="10"/>
        <v>-613.3201009800689</v>
      </c>
      <c r="H166">
        <f t="shared" si="11"/>
        <v>-1999.9999998527901</v>
      </c>
    </row>
    <row r="167" spans="1:8" x14ac:dyDescent="0.3">
      <c r="A167" s="30">
        <v>44470</v>
      </c>
      <c r="B167" s="40">
        <v>-0.5272</v>
      </c>
      <c r="D167">
        <v>156</v>
      </c>
      <c r="E167" s="38">
        <f t="shared" si="8"/>
        <v>-1999.9999998527901</v>
      </c>
      <c r="F167">
        <f t="shared" si="9"/>
        <v>-1392.5977290690923</v>
      </c>
      <c r="G167">
        <f t="shared" si="10"/>
        <v>-607.40227078369776</v>
      </c>
      <c r="H167">
        <f t="shared" si="11"/>
        <v>-1999.9999998527901</v>
      </c>
    </row>
    <row r="168" spans="1:8" x14ac:dyDescent="0.3">
      <c r="A168" s="39">
        <v>44501</v>
      </c>
      <c r="B168" s="40">
        <v>-0.53400000000000003</v>
      </c>
      <c r="D168">
        <v>157</v>
      </c>
      <c r="E168" s="38">
        <f t="shared" si="8"/>
        <v>-1999.9999998527901</v>
      </c>
      <c r="F168">
        <f t="shared" si="9"/>
        <v>-1398.5408143472325</v>
      </c>
      <c r="G168">
        <f t="shared" si="10"/>
        <v>-601.45918550555757</v>
      </c>
      <c r="H168">
        <f t="shared" si="11"/>
        <v>-1999.9999998527901</v>
      </c>
    </row>
    <row r="169" spans="1:8" x14ac:dyDescent="0.3">
      <c r="A169" s="30">
        <v>44531</v>
      </c>
      <c r="B169" s="40">
        <v>-0.54459999999999997</v>
      </c>
      <c r="D169">
        <v>158</v>
      </c>
      <c r="E169" s="38">
        <f t="shared" si="8"/>
        <v>-1999.9999998527901</v>
      </c>
      <c r="F169">
        <f t="shared" si="9"/>
        <v>-1404.5092624863669</v>
      </c>
      <c r="G169">
        <f t="shared" si="10"/>
        <v>-595.49073736642322</v>
      </c>
      <c r="H169">
        <f t="shared" si="11"/>
        <v>-1999.9999998527901</v>
      </c>
    </row>
    <row r="170" spans="1:8" x14ac:dyDescent="0.3">
      <c r="A170" s="39">
        <v>44562</v>
      </c>
      <c r="B170" s="40">
        <v>-0.53900000000000003</v>
      </c>
      <c r="D170">
        <v>159</v>
      </c>
      <c r="E170" s="38">
        <f t="shared" si="8"/>
        <v>-1999.9999998527901</v>
      </c>
      <c r="F170">
        <f t="shared" si="9"/>
        <v>-1410.503181725682</v>
      </c>
      <c r="G170">
        <f t="shared" si="10"/>
        <v>-589.4968181271081</v>
      </c>
      <c r="H170">
        <f t="shared" si="11"/>
        <v>-1999.9999998527901</v>
      </c>
    </row>
    <row r="171" spans="1:8" ht="15" thickBot="1" x14ac:dyDescent="0.35">
      <c r="A171" s="30">
        <v>44593</v>
      </c>
      <c r="B171" s="41">
        <v>-0.503</v>
      </c>
      <c r="D171">
        <v>160</v>
      </c>
      <c r="E171" s="38">
        <f t="shared" si="8"/>
        <v>-1999.9999998527901</v>
      </c>
      <c r="F171">
        <f t="shared" si="9"/>
        <v>-1416.5226807662896</v>
      </c>
      <c r="G171">
        <f t="shared" si="10"/>
        <v>-583.47731908650053</v>
      </c>
      <c r="H171">
        <f t="shared" si="11"/>
        <v>-1999.9999998527901</v>
      </c>
    </row>
    <row r="172" spans="1:8" x14ac:dyDescent="0.3">
      <c r="A172" s="39">
        <v>44621</v>
      </c>
      <c r="B172" s="42">
        <v>-0.496</v>
      </c>
      <c r="D172">
        <v>161</v>
      </c>
      <c r="E172" s="38">
        <f t="shared" si="8"/>
        <v>-1999.9999998527901</v>
      </c>
      <c r="F172">
        <f t="shared" si="9"/>
        <v>-1422.5678687731961</v>
      </c>
      <c r="G172">
        <f t="shared" si="10"/>
        <v>-577.432131079594</v>
      </c>
      <c r="H172">
        <f t="shared" si="11"/>
        <v>-1999.9999998527901</v>
      </c>
    </row>
    <row r="173" spans="1:8" x14ac:dyDescent="0.3">
      <c r="A173" s="30">
        <v>44652</v>
      </c>
      <c r="B173" s="43">
        <v>-0.36199999999999999</v>
      </c>
      <c r="D173">
        <v>162</v>
      </c>
      <c r="E173" s="38">
        <f t="shared" si="8"/>
        <v>-1999.9999998527901</v>
      </c>
      <c r="F173">
        <f t="shared" si="9"/>
        <v>-1428.6388553772836</v>
      </c>
      <c r="G173">
        <f t="shared" si="10"/>
        <v>-571.36114447550653</v>
      </c>
      <c r="H173">
        <f t="shared" si="11"/>
        <v>-1999.9999998527901</v>
      </c>
    </row>
    <row r="174" spans="1:8" x14ac:dyDescent="0.3">
      <c r="A174" s="39">
        <v>44682</v>
      </c>
      <c r="B174">
        <v>-0.20400000000000001</v>
      </c>
      <c r="D174">
        <v>163</v>
      </c>
      <c r="E174" s="38">
        <f t="shared" si="8"/>
        <v>-1999.9999998527901</v>
      </c>
      <c r="F174">
        <f t="shared" si="9"/>
        <v>-1434.7357506772978</v>
      </c>
      <c r="G174">
        <f t="shared" si="10"/>
        <v>-565.2642491754923</v>
      </c>
      <c r="H174">
        <f t="shared" si="11"/>
        <v>-1999.9999998527901</v>
      </c>
    </row>
    <row r="175" spans="1:8" x14ac:dyDescent="0.3">
      <c r="A175" s="30">
        <v>44713</v>
      </c>
      <c r="B175">
        <v>-3.4000000000000002E-2</v>
      </c>
      <c r="D175">
        <v>164</v>
      </c>
      <c r="E175" s="38">
        <f t="shared" si="8"/>
        <v>-1999.9999998527901</v>
      </c>
      <c r="F175">
        <f t="shared" si="9"/>
        <v>-1440.8586652418439</v>
      </c>
      <c r="G175">
        <f t="shared" si="10"/>
        <v>-559.14133461094616</v>
      </c>
      <c r="H175">
        <f t="shared" si="11"/>
        <v>-1999.9999998527901</v>
      </c>
    </row>
    <row r="176" spans="1:8" x14ac:dyDescent="0.3">
      <c r="A176" s="39">
        <v>44743</v>
      </c>
      <c r="B176">
        <v>0.23800000000000002</v>
      </c>
      <c r="D176">
        <v>165</v>
      </c>
      <c r="E176" s="38">
        <f t="shared" si="8"/>
        <v>-1999.9999998527901</v>
      </c>
      <c r="F176">
        <f t="shared" si="9"/>
        <v>-1447.0077101113941</v>
      </c>
      <c r="G176">
        <f t="shared" si="10"/>
        <v>-552.99228974139601</v>
      </c>
      <c r="H176">
        <f t="shared" si="11"/>
        <v>-1999.9999998527901</v>
      </c>
    </row>
    <row r="177" spans="1:8" x14ac:dyDescent="0.3">
      <c r="A177" s="30">
        <v>44774</v>
      </c>
      <c r="B177">
        <v>0.65400000000000003</v>
      </c>
      <c r="D177">
        <v>166</v>
      </c>
      <c r="E177" s="38">
        <f t="shared" si="8"/>
        <v>-1999.9999998527901</v>
      </c>
      <c r="F177">
        <f t="shared" si="9"/>
        <v>-1453.1829968002978</v>
      </c>
      <c r="G177">
        <f t="shared" si="10"/>
        <v>-546.81700305249228</v>
      </c>
      <c r="H177">
        <f t="shared" si="11"/>
        <v>-1999.9999998527901</v>
      </c>
    </row>
    <row r="178" spans="1:8" x14ac:dyDescent="0.3">
      <c r="A178" s="39">
        <v>44805</v>
      </c>
      <c r="B178" s="40">
        <v>1.24</v>
      </c>
      <c r="D178">
        <v>167</v>
      </c>
      <c r="E178" s="38">
        <f t="shared" si="8"/>
        <v>-1999.9999998527901</v>
      </c>
      <c r="F178">
        <f t="shared" si="9"/>
        <v>-1459.3846372988073</v>
      </c>
      <c r="G178">
        <f t="shared" si="10"/>
        <v>-540.61536255398278</v>
      </c>
      <c r="H178">
        <f t="shared" si="11"/>
        <v>-1999.9999998527901</v>
      </c>
    </row>
    <row r="179" spans="1:8" x14ac:dyDescent="0.3">
      <c r="A179" s="30">
        <v>44835</v>
      </c>
      <c r="B179">
        <v>1.7749999999999999</v>
      </c>
      <c r="D179">
        <v>168</v>
      </c>
      <c r="E179" s="38">
        <f t="shared" si="8"/>
        <v>-1999.9999998527901</v>
      </c>
      <c r="F179">
        <f t="shared" si="9"/>
        <v>-1465.6127440751068</v>
      </c>
      <c r="G179">
        <f t="shared" si="10"/>
        <v>-534.38725577768332</v>
      </c>
      <c r="H179">
        <f t="shared" si="11"/>
        <v>-1999.9999998527901</v>
      </c>
    </row>
    <row r="180" spans="1:8" x14ac:dyDescent="0.3">
      <c r="A180" s="30">
        <v>44866</v>
      </c>
      <c r="B180">
        <v>2.1680000000000001</v>
      </c>
      <c r="D180">
        <v>169</v>
      </c>
      <c r="E180" s="38">
        <f t="shared" si="8"/>
        <v>-1999.9999998527901</v>
      </c>
      <c r="F180">
        <f t="shared" si="9"/>
        <v>-1471.8674300773523</v>
      </c>
      <c r="G180">
        <f t="shared" si="10"/>
        <v>-528.13256977543779</v>
      </c>
      <c r="H180">
        <f t="shared" si="11"/>
        <v>-1999.9999998527901</v>
      </c>
    </row>
    <row r="181" spans="1:8" x14ac:dyDescent="0.3">
      <c r="A181" s="39">
        <v>44896</v>
      </c>
      <c r="B181">
        <v>2.4049999999999998</v>
      </c>
      <c r="D181">
        <v>170</v>
      </c>
      <c r="E181" s="38">
        <f t="shared" si="8"/>
        <v>-1999.9999998527901</v>
      </c>
      <c r="F181">
        <f t="shared" si="9"/>
        <v>-1478.1488087357206</v>
      </c>
      <c r="G181">
        <f t="shared" si="10"/>
        <v>-521.85119111706945</v>
      </c>
      <c r="H181">
        <f t="shared" si="11"/>
        <v>-1999.9999998527901</v>
      </c>
    </row>
    <row r="182" spans="1:8" x14ac:dyDescent="0.3">
      <c r="A182" s="30">
        <v>44927</v>
      </c>
      <c r="B182">
        <v>2.7320000000000002</v>
      </c>
      <c r="D182">
        <v>171</v>
      </c>
      <c r="E182" s="38">
        <f t="shared" si="8"/>
        <v>-1999.9999998527901</v>
      </c>
      <c r="F182">
        <f t="shared" si="9"/>
        <v>-1484.4569939644655</v>
      </c>
      <c r="G182">
        <f t="shared" si="10"/>
        <v>-515.54300588832461</v>
      </c>
      <c r="H182">
        <f t="shared" si="11"/>
        <v>-1999.9999998527901</v>
      </c>
    </row>
    <row r="183" spans="1:8" x14ac:dyDescent="0.3">
      <c r="A183" s="30">
        <v>44958</v>
      </c>
      <c r="B183">
        <v>3.0089999999999999</v>
      </c>
      <c r="D183">
        <v>172</v>
      </c>
      <c r="E183" s="38">
        <f t="shared" si="8"/>
        <v>-1999.9999998527901</v>
      </c>
      <c r="F183">
        <f t="shared" si="9"/>
        <v>-1490.7921001639847</v>
      </c>
      <c r="G183">
        <f t="shared" si="10"/>
        <v>-509.20789968880536</v>
      </c>
      <c r="H183">
        <f t="shared" si="11"/>
        <v>-1999.9999998527901</v>
      </c>
    </row>
    <row r="184" spans="1:8" x14ac:dyDescent="0.3">
      <c r="A184" s="30">
        <v>44986</v>
      </c>
      <c r="B184">
        <v>3.3109999999999999</v>
      </c>
      <c r="D184">
        <v>173</v>
      </c>
      <c r="E184" s="38">
        <f t="shared" si="8"/>
        <v>-1999.9999998527901</v>
      </c>
      <c r="F184">
        <f t="shared" si="9"/>
        <v>-1497.1542422228938</v>
      </c>
      <c r="G184">
        <f t="shared" si="10"/>
        <v>-502.8457576298963</v>
      </c>
      <c r="H184">
        <f t="shared" si="11"/>
        <v>-1999.9999998527901</v>
      </c>
    </row>
    <row r="185" spans="1:8" x14ac:dyDescent="0.3">
      <c r="A185" s="30">
        <v>45019</v>
      </c>
      <c r="B185">
        <v>3.335</v>
      </c>
      <c r="D185">
        <v>174</v>
      </c>
      <c r="E185" s="38">
        <f t="shared" si="8"/>
        <v>-1999.9999998527901</v>
      </c>
      <c r="F185">
        <f t="shared" si="9"/>
        <v>-1503.5435355201107</v>
      </c>
      <c r="G185">
        <f t="shared" si="10"/>
        <v>-496.45646433267939</v>
      </c>
      <c r="H185">
        <f t="shared" si="11"/>
        <v>-1999.9999998527901</v>
      </c>
    </row>
    <row r="186" spans="1:8" x14ac:dyDescent="0.3">
      <c r="A186" s="30">
        <v>45048</v>
      </c>
      <c r="B186">
        <v>3.6219999999999999</v>
      </c>
      <c r="D186">
        <v>175</v>
      </c>
      <c r="E186" s="38">
        <f t="shared" si="8"/>
        <v>-1999.9999998527901</v>
      </c>
      <c r="F186">
        <f t="shared" si="9"/>
        <v>-1509.9600959269449</v>
      </c>
      <c r="G186">
        <f t="shared" si="10"/>
        <v>-490.03990392584524</v>
      </c>
      <c r="H186">
        <f t="shared" si="11"/>
        <v>-1999.9999998527901</v>
      </c>
    </row>
    <row r="187" spans="1:8" x14ac:dyDescent="0.3">
      <c r="A187" s="30">
        <v>45078</v>
      </c>
      <c r="B187">
        <v>3.7210000000000001</v>
      </c>
      <c r="D187">
        <v>176</v>
      </c>
      <c r="E187" s="38">
        <f t="shared" si="8"/>
        <v>-1999.9999998527901</v>
      </c>
      <c r="F187">
        <f t="shared" si="9"/>
        <v>-1516.4040398092038</v>
      </c>
      <c r="G187">
        <f t="shared" si="10"/>
        <v>-483.59596004358627</v>
      </c>
      <c r="H187">
        <f t="shared" si="11"/>
        <v>-1999.9999998527901</v>
      </c>
    </row>
    <row r="188" spans="1:8" x14ac:dyDescent="0.3">
      <c r="A188" s="30">
        <v>45110</v>
      </c>
      <c r="B188">
        <v>3.9130000000000003</v>
      </c>
      <c r="D188">
        <v>177</v>
      </c>
      <c r="E188" s="38">
        <f t="shared" si="8"/>
        <v>-1999.9999998527901</v>
      </c>
      <c r="F188">
        <f t="shared" si="9"/>
        <v>-1522.8754840292993</v>
      </c>
      <c r="G188">
        <f t="shared" si="10"/>
        <v>-477.12451582349081</v>
      </c>
      <c r="H188">
        <f t="shared" si="11"/>
        <v>-1999.9999998527901</v>
      </c>
    </row>
    <row r="189" spans="1:8" x14ac:dyDescent="0.3">
      <c r="A189" s="30">
        <v>45139</v>
      </c>
      <c r="B189">
        <v>3.9479999999999995</v>
      </c>
      <c r="D189">
        <v>178</v>
      </c>
      <c r="E189" s="38">
        <f t="shared" si="8"/>
        <v>-1999.9999998527901</v>
      </c>
      <c r="F189">
        <f t="shared" si="9"/>
        <v>-1529.3745459483684</v>
      </c>
      <c r="G189">
        <f t="shared" si="10"/>
        <v>-470.62545390442165</v>
      </c>
      <c r="H189">
        <f t="shared" si="11"/>
        <v>-1999.9999998527901</v>
      </c>
    </row>
    <row r="190" spans="1:8" x14ac:dyDescent="0.3">
      <c r="A190" s="30">
        <v>45170</v>
      </c>
      <c r="B190">
        <v>3.9340000000000002</v>
      </c>
      <c r="D190">
        <v>179</v>
      </c>
      <c r="E190" s="38">
        <f t="shared" si="8"/>
        <v>-1999.9999998527901</v>
      </c>
      <c r="F190">
        <f t="shared" si="9"/>
        <v>-1535.9013434284011</v>
      </c>
      <c r="G190">
        <f t="shared" si="10"/>
        <v>-464.09865642438899</v>
      </c>
      <c r="H190">
        <f t="shared" si="11"/>
        <v>-1999.9999998527901</v>
      </c>
    </row>
    <row r="191" spans="1:8" x14ac:dyDescent="0.3">
      <c r="D191">
        <v>180</v>
      </c>
      <c r="E191" s="38">
        <f t="shared" si="8"/>
        <v>-1999.9999998527901</v>
      </c>
      <c r="F191">
        <f t="shared" si="9"/>
        <v>-1542.4559948343795</v>
      </c>
      <c r="G191">
        <f t="shared" si="10"/>
        <v>-457.54400501841064</v>
      </c>
      <c r="H191">
        <f t="shared" si="11"/>
        <v>-1999.9999998527901</v>
      </c>
    </row>
    <row r="192" spans="1:8" x14ac:dyDescent="0.3">
      <c r="D192">
        <v>181</v>
      </c>
      <c r="E192" s="38">
        <f t="shared" si="8"/>
        <v>-1999.9999998527901</v>
      </c>
      <c r="F192">
        <f t="shared" si="9"/>
        <v>-1549.0386190364216</v>
      </c>
      <c r="G192">
        <f t="shared" si="10"/>
        <v>-450.96138081636855</v>
      </c>
      <c r="H192">
        <f t="shared" si="11"/>
        <v>-1999.9999998527901</v>
      </c>
    </row>
    <row r="193" spans="4:8" x14ac:dyDescent="0.3">
      <c r="D193">
        <v>182</v>
      </c>
      <c r="E193" s="38">
        <f t="shared" si="8"/>
        <v>-1999.9999998527901</v>
      </c>
      <c r="F193">
        <f t="shared" si="9"/>
        <v>-1555.6493354119393</v>
      </c>
      <c r="G193">
        <f t="shared" si="10"/>
        <v>-444.35066444085078</v>
      </c>
      <c r="H193">
        <f t="shared" si="11"/>
        <v>-1999.9999998527901</v>
      </c>
    </row>
    <row r="194" spans="4:8" x14ac:dyDescent="0.3">
      <c r="D194">
        <v>183</v>
      </c>
      <c r="E194" s="38">
        <f t="shared" si="8"/>
        <v>-1999.9999998527901</v>
      </c>
      <c r="F194">
        <f t="shared" si="9"/>
        <v>-1562.2882638478025</v>
      </c>
      <c r="G194">
        <f t="shared" si="10"/>
        <v>-437.71173600498764</v>
      </c>
      <c r="H194">
        <f t="shared" si="11"/>
        <v>-1999.9999998527901</v>
      </c>
    </row>
    <row r="195" spans="4:8" x14ac:dyDescent="0.3">
      <c r="D195">
        <v>184</v>
      </c>
      <c r="E195" s="38">
        <f t="shared" si="8"/>
        <v>-1999.9999998527901</v>
      </c>
      <c r="F195">
        <f t="shared" si="9"/>
        <v>-1568.9555247425126</v>
      </c>
      <c r="G195">
        <f t="shared" si="10"/>
        <v>-431.04447511027752</v>
      </c>
      <c r="H195">
        <f t="shared" si="11"/>
        <v>-1999.9999998527901</v>
      </c>
    </row>
    <row r="196" spans="4:8" x14ac:dyDescent="0.3">
      <c r="D196">
        <v>185</v>
      </c>
      <c r="E196" s="38">
        <f t="shared" si="8"/>
        <v>-1999.9999998527901</v>
      </c>
      <c r="F196">
        <f t="shared" si="9"/>
        <v>-1575.6512390083881</v>
      </c>
      <c r="G196">
        <f t="shared" si="10"/>
        <v>-424.34876084440202</v>
      </c>
      <c r="H196">
        <f t="shared" si="11"/>
        <v>-1999.9999998527901</v>
      </c>
    </row>
    <row r="197" spans="4:8" x14ac:dyDescent="0.3">
      <c r="D197">
        <v>186</v>
      </c>
      <c r="E197" s="38">
        <f t="shared" si="8"/>
        <v>-1999.9999998527901</v>
      </c>
      <c r="F197">
        <f t="shared" si="9"/>
        <v>-1582.3755280737548</v>
      </c>
      <c r="G197">
        <f t="shared" si="10"/>
        <v>-417.62447177903528</v>
      </c>
      <c r="H197">
        <f t="shared" si="11"/>
        <v>-1999.9999998527901</v>
      </c>
    </row>
    <row r="198" spans="4:8" x14ac:dyDescent="0.3">
      <c r="D198">
        <v>187</v>
      </c>
      <c r="E198" s="38">
        <f t="shared" si="8"/>
        <v>-1999.9999998527901</v>
      </c>
      <c r="F198">
        <f t="shared" si="9"/>
        <v>-1589.1285138851497</v>
      </c>
      <c r="G198">
        <f t="shared" si="10"/>
        <v>-410.87148596764041</v>
      </c>
      <c r="H198">
        <f t="shared" si="11"/>
        <v>-1999.9999998527901</v>
      </c>
    </row>
    <row r="199" spans="4:8" x14ac:dyDescent="0.3">
      <c r="D199">
        <v>188</v>
      </c>
      <c r="E199" s="38">
        <f t="shared" si="8"/>
        <v>-1999.9999998527901</v>
      </c>
      <c r="F199">
        <f t="shared" si="9"/>
        <v>-1595.9103189095315</v>
      </c>
      <c r="G199">
        <f t="shared" si="10"/>
        <v>-404.0896809432586</v>
      </c>
      <c r="H199">
        <f t="shared" si="11"/>
        <v>-1999.9999998527901</v>
      </c>
    </row>
    <row r="200" spans="4:8" x14ac:dyDescent="0.3">
      <c r="D200">
        <v>189</v>
      </c>
      <c r="E200" s="38">
        <f t="shared" si="8"/>
        <v>-1999.9999998527901</v>
      </c>
      <c r="F200">
        <f t="shared" si="9"/>
        <v>-1602.7210661365025</v>
      </c>
      <c r="G200">
        <f t="shared" si="10"/>
        <v>-397.27893371628761</v>
      </c>
      <c r="H200">
        <f t="shared" si="11"/>
        <v>-1999.9999998527901</v>
      </c>
    </row>
    <row r="201" spans="4:8" x14ac:dyDescent="0.3">
      <c r="D201">
        <v>190</v>
      </c>
      <c r="E201" s="38">
        <f t="shared" si="8"/>
        <v>-1999.9999998527901</v>
      </c>
      <c r="F201">
        <f t="shared" si="9"/>
        <v>-1609.5608790805375</v>
      </c>
      <c r="G201">
        <f t="shared" si="10"/>
        <v>-390.43912077225264</v>
      </c>
      <c r="H201">
        <f t="shared" si="11"/>
        <v>-1999.9999998527901</v>
      </c>
    </row>
    <row r="202" spans="4:8" x14ac:dyDescent="0.3">
      <c r="D202">
        <v>191</v>
      </c>
      <c r="E202" s="38">
        <f t="shared" si="8"/>
        <v>-1999.9999998527901</v>
      </c>
      <c r="F202">
        <f t="shared" si="9"/>
        <v>-1616.4298817832262</v>
      </c>
      <c r="G202">
        <f t="shared" si="10"/>
        <v>-383.57011806956393</v>
      </c>
      <c r="H202">
        <f t="shared" si="11"/>
        <v>-1999.9999998527901</v>
      </c>
    </row>
    <row r="203" spans="4:8" x14ac:dyDescent="0.3">
      <c r="D203">
        <v>192</v>
      </c>
      <c r="E203" s="38">
        <f t="shared" si="8"/>
        <v>-1999.9999998527901</v>
      </c>
      <c r="F203">
        <f t="shared" si="9"/>
        <v>-1623.3281988155204</v>
      </c>
      <c r="G203">
        <f t="shared" si="10"/>
        <v>-376.67180103726969</v>
      </c>
      <c r="H203">
        <f t="shared" si="11"/>
        <v>-1999.9999998527901</v>
      </c>
    </row>
    <row r="204" spans="4:8" x14ac:dyDescent="0.3">
      <c r="D204">
        <v>193</v>
      </c>
      <c r="E204" s="38">
        <f t="shared" si="8"/>
        <v>-1999.9999998527901</v>
      </c>
      <c r="F204">
        <f t="shared" si="9"/>
        <v>-1630.2559552799944</v>
      </c>
      <c r="G204">
        <f t="shared" si="10"/>
        <v>-369.7440445727957</v>
      </c>
      <c r="H204">
        <f t="shared" si="11"/>
        <v>-1999.9999998527901</v>
      </c>
    </row>
    <row r="205" spans="4:8" x14ac:dyDescent="0.3">
      <c r="D205">
        <v>194</v>
      </c>
      <c r="E205" s="38">
        <f t="shared" ref="E205:E251" si="12">PMT($E$9,$E$5,$E$2,0,0)</f>
        <v>-1999.9999998527901</v>
      </c>
      <c r="F205">
        <f t="shared" ref="F205:F251" si="13">CUMPRINC($E$9,$E$5,$E$2,D205,D205,0)</f>
        <v>-1637.2132768131132</v>
      </c>
      <c r="G205">
        <f t="shared" ref="G205:G251" si="14">CUMIPMT($E$9,$E$5,$E$2,D205,D205,0)</f>
        <v>-362.78672303967687</v>
      </c>
      <c r="H205">
        <f t="shared" ref="H205:H251" si="15">F205+G205</f>
        <v>-1999.9999998527901</v>
      </c>
    </row>
    <row r="206" spans="4:8" x14ac:dyDescent="0.3">
      <c r="D206">
        <v>195</v>
      </c>
      <c r="E206" s="38">
        <f t="shared" si="12"/>
        <v>-1999.9999998527901</v>
      </c>
      <c r="F206">
        <f t="shared" si="13"/>
        <v>-1644.2002895875114</v>
      </c>
      <c r="G206">
        <f t="shared" si="14"/>
        <v>-355.79971026527869</v>
      </c>
      <c r="H206">
        <f t="shared" si="15"/>
        <v>-1999.9999998527901</v>
      </c>
    </row>
    <row r="207" spans="4:8" x14ac:dyDescent="0.3">
      <c r="D207">
        <v>196</v>
      </c>
      <c r="E207" s="38">
        <f t="shared" si="12"/>
        <v>-1999.9999998527901</v>
      </c>
      <c r="F207">
        <f t="shared" si="13"/>
        <v>-1651.2171203142805</v>
      </c>
      <c r="G207">
        <f t="shared" si="14"/>
        <v>-348.78287953850963</v>
      </c>
      <c r="H207">
        <f t="shared" si="15"/>
        <v>-1999.9999998527901</v>
      </c>
    </row>
    <row r="208" spans="4:8" x14ac:dyDescent="0.3">
      <c r="D208">
        <v>197</v>
      </c>
      <c r="E208" s="38">
        <f t="shared" si="12"/>
        <v>-1999.9999998527901</v>
      </c>
      <c r="F208">
        <f t="shared" si="13"/>
        <v>-1658.2638962452686</v>
      </c>
      <c r="G208">
        <f t="shared" si="14"/>
        <v>-341.7361036075215</v>
      </c>
      <c r="H208">
        <f t="shared" si="15"/>
        <v>-1999.9999998527901</v>
      </c>
    </row>
    <row r="209" spans="4:8" x14ac:dyDescent="0.3">
      <c r="D209">
        <v>198</v>
      </c>
      <c r="E209" s="38">
        <f t="shared" si="12"/>
        <v>-1999.9999998527901</v>
      </c>
      <c r="F209">
        <f t="shared" si="13"/>
        <v>-1665.3407451753858</v>
      </c>
      <c r="G209">
        <f t="shared" si="14"/>
        <v>-334.65925467740431</v>
      </c>
      <c r="H209">
        <f t="shared" si="15"/>
        <v>-1999.9999998527901</v>
      </c>
    </row>
    <row r="210" spans="4:8" x14ac:dyDescent="0.3">
      <c r="D210">
        <v>199</v>
      </c>
      <c r="E210" s="38">
        <f t="shared" si="12"/>
        <v>-1999.9999998527901</v>
      </c>
      <c r="F210">
        <f t="shared" si="13"/>
        <v>-1672.4477954449239</v>
      </c>
      <c r="G210">
        <f t="shared" si="14"/>
        <v>-327.55220440786616</v>
      </c>
      <c r="H210">
        <f t="shared" si="15"/>
        <v>-1999.9999998527901</v>
      </c>
    </row>
    <row r="211" spans="4:8" x14ac:dyDescent="0.3">
      <c r="D211">
        <v>200</v>
      </c>
      <c r="E211" s="38">
        <f t="shared" si="12"/>
        <v>-1999.9999998527901</v>
      </c>
      <c r="F211">
        <f t="shared" si="13"/>
        <v>-1679.5851759418827</v>
      </c>
      <c r="G211">
        <f t="shared" si="14"/>
        <v>-320.41482391090744</v>
      </c>
      <c r="H211">
        <f t="shared" si="15"/>
        <v>-1999.9999998527901</v>
      </c>
    </row>
    <row r="212" spans="4:8" x14ac:dyDescent="0.3">
      <c r="D212">
        <v>201</v>
      </c>
      <c r="E212" s="38">
        <f t="shared" si="12"/>
        <v>-1999.9999998527901</v>
      </c>
      <c r="F212">
        <f t="shared" si="13"/>
        <v>-1686.7530161043069</v>
      </c>
      <c r="G212">
        <f t="shared" si="14"/>
        <v>-313.24698374848322</v>
      </c>
      <c r="H212">
        <f t="shared" si="15"/>
        <v>-1999.9999998527901</v>
      </c>
    </row>
    <row r="213" spans="4:8" x14ac:dyDescent="0.3">
      <c r="D213">
        <v>202</v>
      </c>
      <c r="E213" s="38">
        <f t="shared" si="12"/>
        <v>-1999.9999998527901</v>
      </c>
      <c r="F213">
        <f t="shared" si="13"/>
        <v>-1693.9514459226355</v>
      </c>
      <c r="G213">
        <f t="shared" si="14"/>
        <v>-306.04855393015464</v>
      </c>
      <c r="H213">
        <f t="shared" si="15"/>
        <v>-1999.9999998527901</v>
      </c>
    </row>
    <row r="214" spans="4:8" x14ac:dyDescent="0.3">
      <c r="D214">
        <v>203</v>
      </c>
      <c r="E214" s="38">
        <f t="shared" si="12"/>
        <v>-1999.9999998527901</v>
      </c>
      <c r="F214">
        <f t="shared" si="13"/>
        <v>-1701.1805959420576</v>
      </c>
      <c r="G214">
        <f t="shared" si="14"/>
        <v>-298.81940391073249</v>
      </c>
      <c r="H214">
        <f t="shared" si="15"/>
        <v>-1999.9999998527901</v>
      </c>
    </row>
    <row r="215" spans="4:8" x14ac:dyDescent="0.3">
      <c r="D215">
        <v>204</v>
      </c>
      <c r="E215" s="38">
        <f t="shared" si="12"/>
        <v>-1999.9999998527901</v>
      </c>
      <c r="F215">
        <f t="shared" si="13"/>
        <v>-1708.4405972648799</v>
      </c>
      <c r="G215">
        <f t="shared" si="14"/>
        <v>-291.5594025879102</v>
      </c>
      <c r="H215">
        <f t="shared" si="15"/>
        <v>-1999.9999998527901</v>
      </c>
    </row>
    <row r="216" spans="4:8" x14ac:dyDescent="0.3">
      <c r="D216">
        <v>205</v>
      </c>
      <c r="E216" s="38">
        <f t="shared" si="12"/>
        <v>-1999.9999998527901</v>
      </c>
      <c r="F216">
        <f t="shared" si="13"/>
        <v>-1715.7315815529046</v>
      </c>
      <c r="G216">
        <f t="shared" si="14"/>
        <v>-284.26841829988552</v>
      </c>
      <c r="H216">
        <f t="shared" si="15"/>
        <v>-1999.9999998527901</v>
      </c>
    </row>
    <row r="217" spans="4:8" x14ac:dyDescent="0.3">
      <c r="D217">
        <v>206</v>
      </c>
      <c r="E217" s="38">
        <f t="shared" si="12"/>
        <v>-1999.9999998527901</v>
      </c>
      <c r="F217">
        <f t="shared" si="13"/>
        <v>-1723.0536810298177</v>
      </c>
      <c r="G217">
        <f t="shared" si="14"/>
        <v>-276.94631882297244</v>
      </c>
      <c r="H217">
        <f t="shared" si="15"/>
        <v>-1999.9999998527901</v>
      </c>
    </row>
    <row r="218" spans="4:8" x14ac:dyDescent="0.3">
      <c r="D218">
        <v>207</v>
      </c>
      <c r="E218" s="38">
        <f t="shared" si="12"/>
        <v>-1999.9999998527901</v>
      </c>
      <c r="F218">
        <f t="shared" si="13"/>
        <v>-1730.4070284835857</v>
      </c>
      <c r="G218">
        <f t="shared" si="14"/>
        <v>-269.59297136920441</v>
      </c>
      <c r="H218">
        <f t="shared" si="15"/>
        <v>-1999.9999998527901</v>
      </c>
    </row>
    <row r="219" spans="4:8" x14ac:dyDescent="0.3">
      <c r="D219">
        <v>208</v>
      </c>
      <c r="E219" s="38">
        <f t="shared" si="12"/>
        <v>-1999.9999998527901</v>
      </c>
      <c r="F219">
        <f t="shared" si="13"/>
        <v>-1737.7917572688648</v>
      </c>
      <c r="G219">
        <f t="shared" si="14"/>
        <v>-262.20824258392531</v>
      </c>
      <c r="H219">
        <f t="shared" si="15"/>
        <v>-1999.9999998527901</v>
      </c>
    </row>
    <row r="220" spans="4:8" x14ac:dyDescent="0.3">
      <c r="D220">
        <v>209</v>
      </c>
      <c r="E220" s="38">
        <f t="shared" si="12"/>
        <v>-1999.9999998527901</v>
      </c>
      <c r="F220">
        <f t="shared" si="13"/>
        <v>-1745.2080013094189</v>
      </c>
      <c r="G220">
        <f t="shared" si="14"/>
        <v>-254.79199854337116</v>
      </c>
      <c r="H220">
        <f t="shared" si="15"/>
        <v>-1999.9999998527901</v>
      </c>
    </row>
    <row r="221" spans="4:8" x14ac:dyDescent="0.3">
      <c r="D221">
        <v>210</v>
      </c>
      <c r="E221" s="38">
        <f t="shared" si="12"/>
        <v>-1999.9999998527901</v>
      </c>
      <c r="F221">
        <f t="shared" si="13"/>
        <v>-1752.6558951005479</v>
      </c>
      <c r="G221">
        <f t="shared" si="14"/>
        <v>-247.34410475224217</v>
      </c>
      <c r="H221">
        <f t="shared" si="15"/>
        <v>-1999.9999998527901</v>
      </c>
    </row>
    <row r="222" spans="4:8" x14ac:dyDescent="0.3">
      <c r="D222">
        <v>211</v>
      </c>
      <c r="E222" s="38">
        <f t="shared" si="12"/>
        <v>-1999.9999998527901</v>
      </c>
      <c r="F222">
        <f t="shared" si="13"/>
        <v>-1760.135573711528</v>
      </c>
      <c r="G222">
        <f t="shared" si="14"/>
        <v>-239.86442614126213</v>
      </c>
      <c r="H222">
        <f t="shared" si="15"/>
        <v>-1999.9999998527901</v>
      </c>
    </row>
    <row r="223" spans="4:8" x14ac:dyDescent="0.3">
      <c r="D223">
        <v>212</v>
      </c>
      <c r="E223" s="38">
        <f t="shared" si="12"/>
        <v>-1999.9999998527901</v>
      </c>
      <c r="F223">
        <f t="shared" si="13"/>
        <v>-1767.6471727880598</v>
      </c>
      <c r="G223">
        <f t="shared" si="14"/>
        <v>-232.35282706473026</v>
      </c>
      <c r="H223">
        <f t="shared" si="15"/>
        <v>-1999.9999998527901</v>
      </c>
    </row>
    <row r="224" spans="4:8" x14ac:dyDescent="0.3">
      <c r="D224">
        <v>213</v>
      </c>
      <c r="E224" s="38">
        <f t="shared" si="12"/>
        <v>-1999.9999998527901</v>
      </c>
      <c r="F224">
        <f t="shared" si="13"/>
        <v>-1775.190828554729</v>
      </c>
      <c r="G224">
        <f t="shared" si="14"/>
        <v>-224.80917129806107</v>
      </c>
      <c r="H224">
        <f t="shared" si="15"/>
        <v>-1999.9999998527901</v>
      </c>
    </row>
    <row r="225" spans="4:8" x14ac:dyDescent="0.3">
      <c r="D225">
        <v>214</v>
      </c>
      <c r="E225" s="38">
        <f t="shared" si="12"/>
        <v>-1999.9999998527901</v>
      </c>
      <c r="F225">
        <f t="shared" si="13"/>
        <v>-1782.7666778174773</v>
      </c>
      <c r="G225">
        <f t="shared" si="14"/>
        <v>-217.23332203531277</v>
      </c>
      <c r="H225">
        <f t="shared" si="15"/>
        <v>-1999.9999998527901</v>
      </c>
    </row>
    <row r="226" spans="4:8" x14ac:dyDescent="0.3">
      <c r="D226">
        <v>215</v>
      </c>
      <c r="E226" s="38">
        <f t="shared" si="12"/>
        <v>-1999.9999998527901</v>
      </c>
      <c r="F226">
        <f t="shared" si="13"/>
        <v>-1790.3748579660823</v>
      </c>
      <c r="G226">
        <f t="shared" si="14"/>
        <v>-209.62514188670775</v>
      </c>
      <c r="H226">
        <f t="shared" si="15"/>
        <v>-1999.9999998527901</v>
      </c>
    </row>
    <row r="227" spans="4:8" x14ac:dyDescent="0.3">
      <c r="D227">
        <v>216</v>
      </c>
      <c r="E227" s="38">
        <f t="shared" si="12"/>
        <v>-1999.9999998527901</v>
      </c>
      <c r="F227">
        <f t="shared" si="13"/>
        <v>-1798.0155069766497</v>
      </c>
      <c r="G227">
        <f t="shared" si="14"/>
        <v>-201.98449287614039</v>
      </c>
      <c r="H227">
        <f t="shared" si="15"/>
        <v>-1999.9999998527901</v>
      </c>
    </row>
    <row r="228" spans="4:8" x14ac:dyDescent="0.3">
      <c r="D228">
        <v>217</v>
      </c>
      <c r="E228" s="38">
        <f t="shared" si="12"/>
        <v>-1999.9999998527901</v>
      </c>
      <c r="F228">
        <f t="shared" si="13"/>
        <v>-1805.688763414116</v>
      </c>
      <c r="G228">
        <f t="shared" si="14"/>
        <v>-194.31123643867409</v>
      </c>
      <c r="H228">
        <f t="shared" si="15"/>
        <v>-1999.9999998527901</v>
      </c>
    </row>
    <row r="229" spans="4:8" x14ac:dyDescent="0.3">
      <c r="D229">
        <v>218</v>
      </c>
      <c r="E229" s="38">
        <f t="shared" si="12"/>
        <v>-1999.9999998527901</v>
      </c>
      <c r="F229">
        <f t="shared" si="13"/>
        <v>-1813.3947664347606</v>
      </c>
      <c r="G229">
        <f t="shared" si="14"/>
        <v>-186.60523341802946</v>
      </c>
      <c r="H229">
        <f t="shared" si="15"/>
        <v>-1999.9999998527901</v>
      </c>
    </row>
    <row r="230" spans="4:8" x14ac:dyDescent="0.3">
      <c r="D230">
        <v>219</v>
      </c>
      <c r="E230" s="38">
        <f t="shared" si="12"/>
        <v>-1999.9999998527901</v>
      </c>
      <c r="F230">
        <f t="shared" si="13"/>
        <v>-1821.13365578873</v>
      </c>
      <c r="G230">
        <f t="shared" si="14"/>
        <v>-178.86634406406006</v>
      </c>
      <c r="H230">
        <f t="shared" si="15"/>
        <v>-1999.9999998527901</v>
      </c>
    </row>
    <row r="231" spans="4:8" x14ac:dyDescent="0.3">
      <c r="D231">
        <v>220</v>
      </c>
      <c r="E231" s="38">
        <f t="shared" si="12"/>
        <v>-1999.9999998527901</v>
      </c>
      <c r="F231">
        <f t="shared" si="13"/>
        <v>-1828.9055718225713</v>
      </c>
      <c r="G231">
        <f t="shared" si="14"/>
        <v>-171.09442803021875</v>
      </c>
      <c r="H231">
        <f t="shared" si="15"/>
        <v>-1999.9999998527901</v>
      </c>
    </row>
    <row r="232" spans="4:8" x14ac:dyDescent="0.3">
      <c r="D232">
        <v>221</v>
      </c>
      <c r="E232" s="38">
        <f t="shared" si="12"/>
        <v>-1999.9999998527901</v>
      </c>
      <c r="F232">
        <f t="shared" si="13"/>
        <v>-1836.7106554817794</v>
      </c>
      <c r="G232">
        <f t="shared" si="14"/>
        <v>-163.28934437101066</v>
      </c>
      <c r="H232">
        <f t="shared" si="15"/>
        <v>-1999.9999998527901</v>
      </c>
    </row>
    <row r="233" spans="4:8" x14ac:dyDescent="0.3">
      <c r="D233">
        <v>222</v>
      </c>
      <c r="E233" s="38">
        <f t="shared" si="12"/>
        <v>-1999.9999998527901</v>
      </c>
      <c r="F233">
        <f t="shared" si="13"/>
        <v>-1844.5490483133499</v>
      </c>
      <c r="G233">
        <f t="shared" si="14"/>
        <v>-155.45095153944021</v>
      </c>
      <c r="H233">
        <f t="shared" si="15"/>
        <v>-1999.9999998527901</v>
      </c>
    </row>
    <row r="234" spans="4:8" x14ac:dyDescent="0.3">
      <c r="D234">
        <v>223</v>
      </c>
      <c r="E234" s="38">
        <f t="shared" si="12"/>
        <v>-1999.9999998527901</v>
      </c>
      <c r="F234">
        <f t="shared" si="13"/>
        <v>-1852.4208924683496</v>
      </c>
      <c r="G234">
        <f t="shared" si="14"/>
        <v>-147.57910738444048</v>
      </c>
      <c r="H234">
        <f t="shared" si="15"/>
        <v>-1999.9999998527901</v>
      </c>
    </row>
    <row r="235" spans="4:8" x14ac:dyDescent="0.3">
      <c r="D235">
        <v>224</v>
      </c>
      <c r="E235" s="38">
        <f t="shared" si="12"/>
        <v>-1999.9999998527901</v>
      </c>
      <c r="F235">
        <f t="shared" si="13"/>
        <v>-1860.326330704492</v>
      </c>
      <c r="G235">
        <f t="shared" si="14"/>
        <v>-139.67366914829813</v>
      </c>
      <c r="H235">
        <f t="shared" si="15"/>
        <v>-1999.9999998527901</v>
      </c>
    </row>
    <row r="236" spans="4:8" x14ac:dyDescent="0.3">
      <c r="D236">
        <v>225</v>
      </c>
      <c r="E236" s="38">
        <f t="shared" si="12"/>
        <v>-1999.9999998527901</v>
      </c>
      <c r="F236">
        <f t="shared" si="13"/>
        <v>-1868.2655063887271</v>
      </c>
      <c r="G236">
        <f t="shared" si="14"/>
        <v>-131.73449346406301</v>
      </c>
      <c r="H236">
        <f t="shared" si="15"/>
        <v>-1999.9999998527901</v>
      </c>
    </row>
    <row r="237" spans="4:8" x14ac:dyDescent="0.3">
      <c r="D237">
        <v>226</v>
      </c>
      <c r="E237" s="38">
        <f t="shared" si="12"/>
        <v>-1999.9999998527901</v>
      </c>
      <c r="F237">
        <f t="shared" si="13"/>
        <v>-1876.2385634998411</v>
      </c>
      <c r="G237">
        <f t="shared" si="14"/>
        <v>-123.76143635294898</v>
      </c>
      <c r="H237">
        <f t="shared" si="15"/>
        <v>-1999.9999998527901</v>
      </c>
    </row>
    <row r="238" spans="4:8" x14ac:dyDescent="0.3">
      <c r="D238">
        <v>227</v>
      </c>
      <c r="E238" s="38">
        <f t="shared" si="12"/>
        <v>-1999.9999998527901</v>
      </c>
      <c r="F238">
        <f t="shared" si="13"/>
        <v>-1884.245646631068</v>
      </c>
      <c r="G238">
        <f t="shared" si="14"/>
        <v>-115.75435322172211</v>
      </c>
      <c r="H238">
        <f t="shared" si="15"/>
        <v>-1999.9999998527901</v>
      </c>
    </row>
    <row r="239" spans="4:8" x14ac:dyDescent="0.3">
      <c r="D239">
        <v>228</v>
      </c>
      <c r="E239" s="38">
        <f t="shared" si="12"/>
        <v>-1999.9999998527901</v>
      </c>
      <c r="F239">
        <f t="shared" si="13"/>
        <v>-1892.2869009927124</v>
      </c>
      <c r="G239">
        <f t="shared" si="14"/>
        <v>-107.71309886007771</v>
      </c>
      <c r="H239">
        <f t="shared" si="15"/>
        <v>-1999.9999998527901</v>
      </c>
    </row>
    <row r="240" spans="4:8" x14ac:dyDescent="0.3">
      <c r="D240">
        <v>229</v>
      </c>
      <c r="E240" s="38">
        <f t="shared" si="12"/>
        <v>-1999.9999998527901</v>
      </c>
      <c r="F240">
        <f t="shared" si="13"/>
        <v>-1900.3624724147803</v>
      </c>
      <c r="G240">
        <f t="shared" si="14"/>
        <v>-99.637527438009784</v>
      </c>
      <c r="H240">
        <f t="shared" si="15"/>
        <v>-1999.9999998527901</v>
      </c>
    </row>
    <row r="241" spans="4:8" x14ac:dyDescent="0.3">
      <c r="D241">
        <v>230</v>
      </c>
      <c r="E241" s="38">
        <f t="shared" si="12"/>
        <v>-1999.9999998527901</v>
      </c>
      <c r="F241">
        <f t="shared" si="13"/>
        <v>-1908.4725073496268</v>
      </c>
      <c r="G241">
        <f t="shared" si="14"/>
        <v>-91.52749250316333</v>
      </c>
      <c r="H241">
        <f t="shared" si="15"/>
        <v>-1999.9999998527901</v>
      </c>
    </row>
    <row r="242" spans="4:8" x14ac:dyDescent="0.3">
      <c r="D242">
        <v>231</v>
      </c>
      <c r="E242" s="38">
        <f t="shared" si="12"/>
        <v>-1999.9999998527901</v>
      </c>
      <c r="F242">
        <f t="shared" si="13"/>
        <v>-1916.6171528746099</v>
      </c>
      <c r="G242">
        <f t="shared" si="14"/>
        <v>-83.382846978180169</v>
      </c>
      <c r="H242">
        <f t="shared" si="15"/>
        <v>-1999.9999998527901</v>
      </c>
    </row>
    <row r="243" spans="4:8" x14ac:dyDescent="0.3">
      <c r="D243">
        <v>232</v>
      </c>
      <c r="E243" s="38">
        <f t="shared" si="12"/>
        <v>-1999.9999998527901</v>
      </c>
      <c r="F243">
        <f t="shared" si="13"/>
        <v>-1924.7965566947598</v>
      </c>
      <c r="G243">
        <f t="shared" si="14"/>
        <v>-75.203443158030268</v>
      </c>
      <c r="H243">
        <f t="shared" si="15"/>
        <v>-1999.9999998527901</v>
      </c>
    </row>
    <row r="244" spans="4:8" x14ac:dyDescent="0.3">
      <c r="D244">
        <v>233</v>
      </c>
      <c r="E244" s="38">
        <f t="shared" si="12"/>
        <v>-1999.9999998527901</v>
      </c>
      <c r="F244">
        <f t="shared" si="13"/>
        <v>-1933.0108671454561</v>
      </c>
      <c r="G244">
        <f t="shared" si="14"/>
        <v>-66.989132707333965</v>
      </c>
      <c r="H244">
        <f t="shared" si="15"/>
        <v>-1999.9999998527901</v>
      </c>
    </row>
    <row r="245" spans="4:8" x14ac:dyDescent="0.3">
      <c r="D245">
        <v>234</v>
      </c>
      <c r="E245" s="38">
        <f t="shared" si="12"/>
        <v>-1999.9999998527901</v>
      </c>
      <c r="F245">
        <f t="shared" si="13"/>
        <v>-1941.2602331951164</v>
      </c>
      <c r="G245">
        <f t="shared" si="14"/>
        <v>-58.739766657673727</v>
      </c>
      <c r="H245">
        <f t="shared" si="15"/>
        <v>-1999.9999998527901</v>
      </c>
    </row>
    <row r="246" spans="4:8" x14ac:dyDescent="0.3">
      <c r="D246">
        <v>235</v>
      </c>
      <c r="E246" s="38">
        <f t="shared" si="12"/>
        <v>-1999.9999998527901</v>
      </c>
      <c r="F246">
        <f t="shared" si="13"/>
        <v>-1949.5448044479022</v>
      </c>
      <c r="G246">
        <f t="shared" si="14"/>
        <v>-50.455195404887945</v>
      </c>
      <c r="H246">
        <f t="shared" si="15"/>
        <v>-1999.9999998527901</v>
      </c>
    </row>
    <row r="247" spans="4:8" x14ac:dyDescent="0.3">
      <c r="D247">
        <v>236</v>
      </c>
      <c r="E247" s="38">
        <f t="shared" si="12"/>
        <v>-1999.9999998527901</v>
      </c>
      <c r="F247">
        <f t="shared" si="13"/>
        <v>-1957.8647311464283</v>
      </c>
      <c r="G247">
        <f t="shared" si="14"/>
        <v>-42.135268706361785</v>
      </c>
      <c r="H247">
        <f t="shared" si="15"/>
        <v>-1999.9999998527901</v>
      </c>
    </row>
    <row r="248" spans="4:8" x14ac:dyDescent="0.3">
      <c r="D248">
        <v>237</v>
      </c>
      <c r="E248" s="38">
        <f t="shared" si="12"/>
        <v>-1999.9999998527901</v>
      </c>
      <c r="F248">
        <f t="shared" si="13"/>
        <v>-1966.2201641744884</v>
      </c>
      <c r="G248">
        <f t="shared" si="14"/>
        <v>-33.779835678301652</v>
      </c>
      <c r="H248">
        <f t="shared" si="15"/>
        <v>-1999.9999998527901</v>
      </c>
    </row>
    <row r="249" spans="4:8" x14ac:dyDescent="0.3">
      <c r="D249">
        <v>238</v>
      </c>
      <c r="E249" s="38">
        <f t="shared" si="12"/>
        <v>-1999.9999998527901</v>
      </c>
      <c r="F249">
        <f t="shared" si="13"/>
        <v>-1974.6112550597934</v>
      </c>
      <c r="G249">
        <f t="shared" si="14"/>
        <v>-25.388744792996704</v>
      </c>
      <c r="H249">
        <f t="shared" si="15"/>
        <v>-1999.9999998527901</v>
      </c>
    </row>
    <row r="250" spans="4:8" x14ac:dyDescent="0.3">
      <c r="D250">
        <v>239</v>
      </c>
      <c r="E250" s="38">
        <f t="shared" si="12"/>
        <v>-1999.9999998527901</v>
      </c>
      <c r="F250">
        <f t="shared" si="13"/>
        <v>-1983.038155976715</v>
      </c>
      <c r="G250">
        <f t="shared" si="14"/>
        <v>-16.961843876075136</v>
      </c>
      <c r="H250">
        <f t="shared" si="15"/>
        <v>-1999.9999998527901</v>
      </c>
    </row>
    <row r="251" spans="4:8" x14ac:dyDescent="0.3">
      <c r="D251">
        <v>240</v>
      </c>
      <c r="E251" s="38">
        <f t="shared" si="12"/>
        <v>-1999.9999998527901</v>
      </c>
      <c r="F251">
        <f t="shared" si="13"/>
        <v>-1991.5010197490503</v>
      </c>
      <c r="G251">
        <f t="shared" si="14"/>
        <v>-8.4989801037397683</v>
      </c>
      <c r="H251">
        <f t="shared" si="15"/>
        <v>-1999.9999998527901</v>
      </c>
    </row>
  </sheetData>
  <scenarios current="2" show="2" sqref="G2">
    <scenario name="Otimista" locked="1" count="1" user="JJDC" comment="Created by JJDC on 29/09/2023">
      <inputCells r="F2" val="0.2" numFmtId="9"/>
    </scenario>
    <scenario name="Moderado" locked="1" count="1" user="JJDC" comment="Created by JJDC on 29/09/2023">
      <inputCells r="F2" val="0.05" numFmtId="9"/>
    </scenario>
    <scenario name="Pessimista" locked="1" count="1" user="JJDC" comment="Created by JJDC on 29/09/2023">
      <inputCells r="F2" val="-0.15" numFmtId="9"/>
    </scenario>
  </scenarios>
  <hyperlinks>
    <hyperlink ref="O16" r:id="rId1" display="https://silabo.pt/catalogo/informatica/folhas-de-calculo/livro/excel-para-economia-e-gestao/" xr:uid="{BFE5D821-8DE5-499B-AD12-56490ECF2F3A}"/>
    <hyperlink ref="K26" r:id="rId2" xr:uid="{97A1D9C5-077D-45CA-85E7-3CA3823B8333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71F3F2CE362A45BD297059054AA58E" ma:contentTypeVersion="16" ma:contentTypeDescription="Criar um novo documento." ma:contentTypeScope="" ma:versionID="5d22d9c710a535fa4eed66e850d90900">
  <xsd:schema xmlns:xsd="http://www.w3.org/2001/XMLSchema" xmlns:xs="http://www.w3.org/2001/XMLSchema" xmlns:p="http://schemas.microsoft.com/office/2006/metadata/properties" xmlns:ns3="9b2140f1-0cb4-488b-96f2-fdb5eba9a44a" xmlns:ns4="4b08588e-df41-431b-bafe-e7896c317002" targetNamespace="http://schemas.microsoft.com/office/2006/metadata/properties" ma:root="true" ma:fieldsID="78e7f2ba4dfbec55b3f79e5370a5a617" ns3:_="" ns4:_="">
    <xsd:import namespace="9b2140f1-0cb4-488b-96f2-fdb5eba9a44a"/>
    <xsd:import namespace="4b08588e-df41-431b-bafe-e7896c31700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bjectDetectorVersion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140f1-0cb4-488b-96f2-fdb5eba9a4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8588e-df41-431b-bafe-e7896c3170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08588e-df41-431b-bafe-e7896c317002" xsi:nil="true"/>
  </documentManagement>
</p:properties>
</file>

<file path=customXml/itemProps1.xml><?xml version="1.0" encoding="utf-8"?>
<ds:datastoreItem xmlns:ds="http://schemas.openxmlformats.org/officeDocument/2006/customXml" ds:itemID="{73464051-9F9F-4664-84D9-32AA6920A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2140f1-0cb4-488b-96f2-fdb5eba9a44a"/>
    <ds:schemaRef ds:uri="4b08588e-df41-431b-bafe-e7896c317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2846D1-C97A-4AB4-9F0C-419592078A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3D95F-F1DE-4A3C-9DE4-E19078EBCB3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b2140f1-0cb4-488b-96f2-fdb5eba9a44a"/>
    <ds:schemaRef ds:uri="4b08588e-df41-431b-bafe-e7896c31700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V3</vt:lpstr>
      <vt:lpstr>V4</vt:lpstr>
      <vt:lpstr>V5</vt:lpstr>
      <vt:lpstr>V6</vt:lpstr>
      <vt:lpstr>V7</vt:lpstr>
      <vt:lpstr>V8</vt:lpstr>
      <vt:lpstr>Scenario Summary</vt:lpstr>
      <vt:lpstr>V9</vt:lpstr>
      <vt:lpstr>V10</vt:lpstr>
      <vt:lpstr>V11</vt:lpstr>
      <vt:lpstr>V12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JJDC</dc:creator>
  <cp:lastModifiedBy>JJDC</cp:lastModifiedBy>
  <dcterms:created xsi:type="dcterms:W3CDTF">2023-09-09T12:00:32Z</dcterms:created>
  <dcterms:modified xsi:type="dcterms:W3CDTF">2023-10-09T08:25:36Z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0x0101004E71F3F2CE362A45BD297059054AA58E</vt:lpwstr>
  </property>
</Properties>
</file>